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showInkAnnotation="0" autoCompressPictures="0"/>
  <mc:AlternateContent xmlns:mc="http://schemas.openxmlformats.org/markup-compatibility/2006">
    <mc:Choice Requires="x15">
      <x15ac:absPath xmlns:x15ac="http://schemas.microsoft.com/office/spreadsheetml/2010/11/ac" url="C:\Users\GIZ\OneDrive - Deutsche Gesellschaft für Internationale Zusammenarbeit (GIZ) GmbH\Desktop\bussiness modèle\Bussiness plan revu, modele P.E.D. MDD\Nouveau BM\"/>
    </mc:Choice>
  </mc:AlternateContent>
  <xr:revisionPtr revIDLastSave="0" documentId="13_ncr:1_{994616CC-ACAB-45D7-B716-2AB324737C8D}" xr6:coauthVersionLast="46" xr6:coauthVersionMax="46" xr10:uidLastSave="{00000000-0000-0000-0000-000000000000}"/>
  <bookViews>
    <workbookView xWindow="-110" yWindow="-110" windowWidth="19420" windowHeight="10420" tabRatio="500" xr2:uid="{00000000-000D-0000-FFFF-FFFF00000000}"/>
  </bookViews>
  <sheets>
    <sheet name="Table rentabilité" sheetId="1" r:id="rId1"/>
    <sheet name="Remboursement Mensualités" sheetId="2" state="hidden" r:id="rId2"/>
    <sheet name="investissement réel" sheetId="8" r:id="rId3"/>
    <sheet name="Modèles envisagés (ex.arachide)" sheetId="3" state="hidden" r:id="rId4"/>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E202" i="1" l="1"/>
  <c r="D202" i="1"/>
  <c r="D201" i="1" l="1"/>
  <c r="C177" i="1"/>
  <c r="C175" i="1"/>
  <c r="C179" i="1"/>
  <c r="D133" i="1"/>
  <c r="C124" i="1"/>
  <c r="F108" i="1"/>
  <c r="C158" i="1" l="1"/>
  <c r="G19" i="1" l="1"/>
  <c r="G159" i="1"/>
  <c r="G160" i="1"/>
  <c r="F91" i="1" l="1"/>
  <c r="F96" i="1"/>
  <c r="F93" i="1"/>
  <c r="F103" i="1" s="1"/>
  <c r="D137" i="1"/>
  <c r="D151" i="1"/>
  <c r="D150" i="1"/>
  <c r="D149" i="1"/>
  <c r="D148" i="1"/>
  <c r="D147" i="1"/>
  <c r="D145" i="1"/>
  <c r="D142" i="1"/>
  <c r="D146" i="1"/>
  <c r="C150" i="1"/>
  <c r="C146" i="1"/>
  <c r="C145" i="1"/>
  <c r="C151" i="1"/>
  <c r="C144" i="1"/>
  <c r="D144" i="1"/>
  <c r="D143" i="1"/>
  <c r="D141" i="1"/>
  <c r="D140" i="1"/>
  <c r="D136" i="1"/>
  <c r="D135" i="1"/>
  <c r="D134" i="1"/>
  <c r="C134" i="1"/>
  <c r="C135" i="1"/>
  <c r="C133" i="1"/>
  <c r="C149" i="1" l="1"/>
  <c r="C148" i="1"/>
  <c r="C147" i="1"/>
  <c r="C143" i="1"/>
  <c r="C142" i="1"/>
  <c r="C136" i="1"/>
  <c r="C137" i="1"/>
  <c r="C141" i="1" s="1"/>
  <c r="E11" i="8"/>
  <c r="G11" i="8" s="1"/>
  <c r="G5" i="8"/>
  <c r="G6" i="8"/>
  <c r="G7" i="8"/>
  <c r="G8" i="8"/>
  <c r="G9" i="8"/>
  <c r="G10" i="8"/>
  <c r="G12" i="8"/>
  <c r="G13" i="8"/>
  <c r="G14" i="8"/>
  <c r="G15" i="8"/>
  <c r="G16" i="8"/>
  <c r="G18" i="8"/>
  <c r="G4" i="8"/>
  <c r="E8" i="8"/>
  <c r="E10" i="8"/>
  <c r="E6" i="8"/>
  <c r="D158" i="1"/>
  <c r="D159" i="1"/>
  <c r="D160" i="1"/>
  <c r="E22" i="8"/>
  <c r="E21" i="8"/>
  <c r="E20" i="8"/>
  <c r="E19" i="8"/>
  <c r="E18" i="8"/>
  <c r="E17" i="8"/>
  <c r="E16" i="8"/>
  <c r="E15" i="8"/>
  <c r="E14" i="8"/>
  <c r="E13" i="8"/>
  <c r="E12" i="8"/>
  <c r="E9" i="8"/>
  <c r="E7" i="8"/>
  <c r="E5" i="8"/>
  <c r="E4" i="8"/>
  <c r="E23" i="8" l="1"/>
  <c r="G23" i="8"/>
  <c r="C20" i="1" l="1"/>
  <c r="C19" i="1" l="1"/>
  <c r="I22" i="1" l="1"/>
  <c r="H19" i="1"/>
  <c r="D138" i="1" l="1"/>
  <c r="D139" i="1"/>
  <c r="C126" i="1"/>
  <c r="G127" i="1" l="1"/>
  <c r="F127" i="1"/>
  <c r="G126" i="1"/>
  <c r="F126" i="1"/>
  <c r="D126" i="1"/>
  <c r="F151" i="1"/>
  <c r="F150" i="1"/>
  <c r="F128" i="1"/>
  <c r="G128" i="1"/>
  <c r="L26" i="1"/>
  <c r="L28" i="1" l="1"/>
  <c r="K26" i="1"/>
  <c r="L27" i="1"/>
  <c r="K27" i="1"/>
  <c r="K28" i="1"/>
  <c r="F136" i="1" l="1"/>
  <c r="G136" i="1" s="1"/>
  <c r="F135" i="1"/>
  <c r="G135" i="1" s="1"/>
  <c r="I19" i="1"/>
  <c r="F97" i="1" l="1"/>
  <c r="O60" i="1"/>
  <c r="H22" i="1"/>
  <c r="F142" i="1"/>
  <c r="G142" i="1" s="1"/>
  <c r="F143" i="1"/>
  <c r="G143" i="1" s="1"/>
  <c r="F144" i="1"/>
  <c r="G144" i="1" s="1"/>
  <c r="F145" i="1"/>
  <c r="G145" i="1" s="1"/>
  <c r="F147" i="1"/>
  <c r="G147" i="1" s="1"/>
  <c r="F148" i="1"/>
  <c r="G148" i="1" s="1"/>
  <c r="F149" i="1"/>
  <c r="C189" i="1"/>
  <c r="B4" i="2"/>
  <c r="A14" i="2" s="1"/>
  <c r="F14" i="2" s="1"/>
  <c r="B2" i="2"/>
  <c r="F184" i="1"/>
  <c r="F114" i="1"/>
  <c r="F185" i="1"/>
  <c r="F186" i="1"/>
  <c r="F187" i="1"/>
  <c r="F188" i="1"/>
  <c r="F189" i="1"/>
  <c r="F190" i="1"/>
  <c r="F191" i="1"/>
  <c r="F192" i="1"/>
  <c r="F193" i="1"/>
  <c r="G72" i="1"/>
  <c r="I20" i="1" s="1"/>
  <c r="G20" i="1" l="1"/>
  <c r="H20" i="1" s="1"/>
  <c r="F112" i="1"/>
  <c r="C122" i="1" s="1"/>
  <c r="F109" i="1"/>
  <c r="C159" i="1" s="1"/>
  <c r="F110" i="1"/>
  <c r="G22" i="1"/>
  <c r="F111" i="1"/>
  <c r="C121" i="1" s="1"/>
  <c r="C4" i="2"/>
  <c r="A15" i="2" s="1"/>
  <c r="A16" i="2" s="1"/>
  <c r="J204" i="1"/>
  <c r="K204" i="1"/>
  <c r="L204" i="1"/>
  <c r="I204" i="1"/>
  <c r="G14" i="2"/>
  <c r="C160" i="1" l="1"/>
  <c r="F160" i="1" s="1"/>
  <c r="F158" i="1"/>
  <c r="C125" i="1"/>
  <c r="F122" i="1"/>
  <c r="F159" i="1"/>
  <c r="L63" i="1"/>
  <c r="K63" i="1" s="1"/>
  <c r="C123" i="1"/>
  <c r="F123" i="1" s="1"/>
  <c r="G15" i="2"/>
  <c r="F15" i="2" s="1"/>
  <c r="A17" i="2"/>
  <c r="A18" i="2" s="1"/>
  <c r="J51" i="1"/>
  <c r="I51" i="1" s="1"/>
  <c r="C178" i="1" l="1"/>
  <c r="G158" i="1"/>
  <c r="G161" i="1" s="1"/>
  <c r="F99" i="1"/>
  <c r="C140" i="1"/>
  <c r="F104" i="1"/>
  <c r="C139" i="1" s="1"/>
  <c r="L65" i="1"/>
  <c r="L66" i="1" s="1"/>
  <c r="G122" i="1"/>
  <c r="F161" i="1"/>
  <c r="E201" i="1" s="1"/>
  <c r="L64" i="1"/>
  <c r="F94" i="1"/>
  <c r="F121" i="1"/>
  <c r="G121" i="1"/>
  <c r="G123" i="1"/>
  <c r="G124" i="1"/>
  <c r="F124" i="1"/>
  <c r="G16" i="2"/>
  <c r="J63" i="1"/>
  <c r="K64" i="1"/>
  <c r="A19" i="2"/>
  <c r="F137" i="1"/>
  <c r="F141" i="1"/>
  <c r="G141" i="1" s="1"/>
  <c r="F125" i="1"/>
  <c r="G125" i="1"/>
  <c r="F140" i="1" l="1"/>
  <c r="G140" i="1" s="1"/>
  <c r="F134" i="1"/>
  <c r="G134" i="1" s="1"/>
  <c r="K65" i="1"/>
  <c r="F129" i="1"/>
  <c r="C176" i="1" s="1"/>
  <c r="G129" i="1"/>
  <c r="F139" i="1"/>
  <c r="G139" i="1" s="1"/>
  <c r="F16" i="2"/>
  <c r="G17" i="2"/>
  <c r="G18" i="2" s="1"/>
  <c r="G19" i="2" s="1"/>
  <c r="F201" i="1"/>
  <c r="A20" i="2"/>
  <c r="J64" i="1"/>
  <c r="M64" i="1" s="1"/>
  <c r="M63" i="1"/>
  <c r="G137" i="1"/>
  <c r="D185" i="1" l="1"/>
  <c r="K66" i="1"/>
  <c r="J65" i="1"/>
  <c r="F202" i="1"/>
  <c r="G202" i="1" s="1"/>
  <c r="H202" i="1" s="1"/>
  <c r="I202" i="1" s="1"/>
  <c r="J202" i="1" s="1"/>
  <c r="K202" i="1" s="1"/>
  <c r="L202" i="1" s="1"/>
  <c r="M202" i="1" s="1"/>
  <c r="F17" i="2"/>
  <c r="F18" i="2" s="1"/>
  <c r="F19" i="2" s="1"/>
  <c r="G201" i="1"/>
  <c r="G20" i="2"/>
  <c r="A21" i="2"/>
  <c r="M65" i="1" l="1"/>
  <c r="J66" i="1"/>
  <c r="M66" i="1" s="1"/>
  <c r="F82" i="1" s="1"/>
  <c r="F20" i="2"/>
  <c r="A22" i="2"/>
  <c r="G21" i="2"/>
  <c r="H201" i="1"/>
  <c r="F21" i="2" l="1"/>
  <c r="G22" i="2"/>
  <c r="A23" i="2"/>
  <c r="I201" i="1"/>
  <c r="F22" i="2" l="1"/>
  <c r="J201" i="1"/>
  <c r="A24" i="2"/>
  <c r="G23" i="2"/>
  <c r="F23" i="2" l="1"/>
  <c r="G24" i="2"/>
  <c r="A25" i="2"/>
  <c r="K201" i="1"/>
  <c r="F24" i="2" l="1"/>
  <c r="L201" i="1"/>
  <c r="G25" i="2"/>
  <c r="A26" i="2"/>
  <c r="F25" i="2" l="1"/>
  <c r="A27" i="2"/>
  <c r="G26" i="2"/>
  <c r="F26" i="2" l="1"/>
  <c r="A28" i="2"/>
  <c r="G27" i="2"/>
  <c r="F27" i="2" l="1"/>
  <c r="G28" i="2"/>
  <c r="A29" i="2"/>
  <c r="F28" i="2" l="1"/>
  <c r="A30" i="2"/>
  <c r="G29" i="2"/>
  <c r="F29" i="2" l="1"/>
  <c r="G30" i="2"/>
  <c r="F30" i="2" s="1"/>
  <c r="A31" i="2"/>
  <c r="A32" i="2" l="1"/>
  <c r="G31" i="2"/>
  <c r="F31" i="2" s="1"/>
  <c r="G32" i="2" l="1"/>
  <c r="F32" i="2" s="1"/>
  <c r="A33" i="2"/>
  <c r="G33" i="2" l="1"/>
  <c r="F33" i="2" s="1"/>
  <c r="A34" i="2"/>
  <c r="A35" i="2" l="1"/>
  <c r="G34" i="2"/>
  <c r="F34" i="2" s="1"/>
  <c r="G35" i="2" l="1"/>
  <c r="F35" i="2" s="1"/>
  <c r="A36" i="2"/>
  <c r="G36" i="2" l="1"/>
  <c r="F36" i="2" s="1"/>
  <c r="A37" i="2"/>
  <c r="A38" i="2" l="1"/>
  <c r="G37" i="2"/>
  <c r="F37" i="2" s="1"/>
  <c r="G38" i="2" l="1"/>
  <c r="F38" i="2" s="1"/>
  <c r="A39" i="2"/>
  <c r="A40" i="2" l="1"/>
  <c r="G39" i="2"/>
  <c r="F39" i="2" s="1"/>
  <c r="G40" i="2" l="1"/>
  <c r="F40" i="2" s="1"/>
  <c r="A41" i="2"/>
  <c r="G41" i="2" l="1"/>
  <c r="F41" i="2" s="1"/>
  <c r="A42" i="2"/>
  <c r="A43" i="2" l="1"/>
  <c r="G42" i="2"/>
  <c r="F42" i="2" s="1"/>
  <c r="A44" i="2" l="1"/>
  <c r="G43" i="2"/>
  <c r="F43" i="2" s="1"/>
  <c r="G44" i="2" l="1"/>
  <c r="F44" i="2" s="1"/>
  <c r="A45" i="2"/>
  <c r="A46" i="2" l="1"/>
  <c r="G45" i="2"/>
  <c r="F45" i="2" s="1"/>
  <c r="G46" i="2" l="1"/>
  <c r="F46" i="2" s="1"/>
  <c r="A47" i="2"/>
  <c r="A48" i="2" l="1"/>
  <c r="G47" i="2"/>
  <c r="F47" i="2" s="1"/>
  <c r="G48" i="2" l="1"/>
  <c r="F48" i="2" s="1"/>
  <c r="A49" i="2"/>
  <c r="G49" i="2" l="1"/>
  <c r="F49" i="2" s="1"/>
  <c r="A50" i="2"/>
  <c r="A51" i="2" l="1"/>
  <c r="G50" i="2"/>
  <c r="F50" i="2" s="1"/>
  <c r="G51" i="2" l="1"/>
  <c r="F51" i="2" s="1"/>
  <c r="A52" i="2"/>
  <c r="G52" i="2" l="1"/>
  <c r="F52" i="2" s="1"/>
  <c r="A53" i="2"/>
  <c r="A54" i="2" l="1"/>
  <c r="G53" i="2"/>
  <c r="F53" i="2" s="1"/>
  <c r="G54" i="2" l="1"/>
  <c r="F54" i="2" s="1"/>
  <c r="A55" i="2"/>
  <c r="A56" i="2" l="1"/>
  <c r="G55" i="2"/>
  <c r="F55" i="2" s="1"/>
  <c r="G56" i="2" l="1"/>
  <c r="F56" i="2" s="1"/>
  <c r="A57" i="2"/>
  <c r="G57" i="2" l="1"/>
  <c r="F57" i="2" s="1"/>
  <c r="A58" i="2"/>
  <c r="A59" i="2" l="1"/>
  <c r="G58" i="2"/>
  <c r="F58" i="2" s="1"/>
  <c r="A60" i="2" l="1"/>
  <c r="G59" i="2"/>
  <c r="F59" i="2" s="1"/>
  <c r="G60" i="2" l="1"/>
  <c r="F60" i="2" s="1"/>
  <c r="A61" i="2"/>
  <c r="A62" i="2" l="1"/>
  <c r="G61" i="2"/>
  <c r="F61" i="2" s="1"/>
  <c r="G62" i="2" l="1"/>
  <c r="F62" i="2" s="1"/>
  <c r="A63" i="2"/>
  <c r="A64" i="2" l="1"/>
  <c r="G63" i="2"/>
  <c r="F63" i="2" s="1"/>
  <c r="G64" i="2" l="1"/>
  <c r="F64" i="2" s="1"/>
  <c r="A65" i="2"/>
  <c r="G65" i="2" l="1"/>
  <c r="F65" i="2" s="1"/>
  <c r="A66" i="2"/>
  <c r="A67" i="2" l="1"/>
  <c r="G66" i="2"/>
  <c r="F66" i="2" s="1"/>
  <c r="G67" i="2" l="1"/>
  <c r="F67" i="2" s="1"/>
  <c r="A68" i="2"/>
  <c r="G68" i="2" l="1"/>
  <c r="F68" i="2" s="1"/>
  <c r="A69" i="2"/>
  <c r="A70" i="2" l="1"/>
  <c r="G69" i="2"/>
  <c r="F69" i="2" s="1"/>
  <c r="G70" i="2" l="1"/>
  <c r="F70" i="2" s="1"/>
  <c r="A71" i="2"/>
  <c r="A72" i="2" l="1"/>
  <c r="G71" i="2"/>
  <c r="F71" i="2" s="1"/>
  <c r="G72" i="2" l="1"/>
  <c r="F72" i="2" s="1"/>
  <c r="A73" i="2"/>
  <c r="G73" i="2" l="1"/>
  <c r="F73" i="2" s="1"/>
  <c r="A74" i="2"/>
  <c r="A75" i="2" l="1"/>
  <c r="F74" i="2"/>
  <c r="G74" i="2"/>
  <c r="E74" i="2"/>
  <c r="C74" i="2"/>
  <c r="D74" i="2"/>
  <c r="B74" i="2"/>
  <c r="B75" i="2" l="1"/>
  <c r="A76" i="2"/>
  <c r="F75" i="2"/>
  <c r="D75" i="2"/>
  <c r="G75" i="2"/>
  <c r="E75" i="2"/>
  <c r="C75" i="2"/>
  <c r="B76" i="2" l="1"/>
  <c r="A77" i="2"/>
  <c r="F76" i="2"/>
  <c r="C76" i="2"/>
  <c r="G76" i="2"/>
  <c r="D76" i="2"/>
  <c r="E76" i="2"/>
  <c r="B77" i="2" l="1"/>
  <c r="A78" i="2"/>
  <c r="F77" i="2"/>
  <c r="E77" i="2"/>
  <c r="C77" i="2"/>
  <c r="G77" i="2"/>
  <c r="D77" i="2"/>
  <c r="F78" i="2" l="1"/>
  <c r="B78" i="2"/>
  <c r="A79" i="2"/>
  <c r="C78" i="2"/>
  <c r="G78" i="2"/>
  <c r="E78" i="2"/>
  <c r="D78" i="2"/>
  <c r="F79" i="2" l="1"/>
  <c r="C79" i="2"/>
  <c r="A80" i="2"/>
  <c r="B79" i="2"/>
  <c r="D79" i="2"/>
  <c r="E79" i="2"/>
  <c r="G79" i="2"/>
  <c r="B80" i="2" l="1"/>
  <c r="A81" i="2"/>
  <c r="E80" i="2"/>
  <c r="F80" i="2"/>
  <c r="G80" i="2"/>
  <c r="C80" i="2"/>
  <c r="D80" i="2"/>
  <c r="B81" i="2" l="1"/>
  <c r="A82" i="2"/>
  <c r="D81" i="2"/>
  <c r="F81" i="2"/>
  <c r="E81" i="2"/>
  <c r="C81" i="2"/>
  <c r="G81" i="2"/>
  <c r="F82" i="2" l="1"/>
  <c r="B82" i="2"/>
  <c r="A83" i="2"/>
  <c r="G82" i="2"/>
  <c r="D82" i="2"/>
  <c r="E82" i="2"/>
  <c r="C82" i="2"/>
  <c r="F83" i="2" l="1"/>
  <c r="B83" i="2"/>
  <c r="D83" i="2"/>
  <c r="G83" i="2"/>
  <c r="A84" i="2"/>
  <c r="C83" i="2"/>
  <c r="E83" i="2"/>
  <c r="B84" i="2" l="1"/>
  <c r="A85" i="2"/>
  <c r="G84" i="2"/>
  <c r="D84" i="2"/>
  <c r="F84" i="2"/>
  <c r="C84" i="2"/>
  <c r="E84" i="2"/>
  <c r="F85" i="2" l="1"/>
  <c r="A86" i="2"/>
  <c r="C85" i="2"/>
  <c r="B85" i="2"/>
  <c r="G85" i="2"/>
  <c r="E85" i="2"/>
  <c r="D85" i="2"/>
  <c r="F86" i="2" l="1"/>
  <c r="B86" i="2"/>
  <c r="A87" i="2"/>
  <c r="C86" i="2"/>
  <c r="G86" i="2"/>
  <c r="D86" i="2"/>
  <c r="E86" i="2"/>
  <c r="F87" i="2" l="1"/>
  <c r="B87" i="2"/>
  <c r="A88" i="2"/>
  <c r="G87" i="2"/>
  <c r="E87" i="2"/>
  <c r="D87" i="2"/>
  <c r="C87" i="2"/>
  <c r="B88" i="2" l="1"/>
  <c r="A89" i="2"/>
  <c r="F88" i="2"/>
  <c r="C88" i="2"/>
  <c r="G88" i="2"/>
  <c r="D88" i="2"/>
  <c r="E88" i="2"/>
  <c r="B89" i="2" l="1"/>
  <c r="A90" i="2"/>
  <c r="F89" i="2"/>
  <c r="C89" i="2"/>
  <c r="E89" i="2"/>
  <c r="G89" i="2"/>
  <c r="D89" i="2"/>
  <c r="A91" i="2" l="1"/>
  <c r="D90" i="2"/>
  <c r="C90" i="2"/>
  <c r="E90" i="2"/>
  <c r="B90" i="2"/>
  <c r="F90" i="2"/>
  <c r="G90" i="2"/>
  <c r="B91" i="2" l="1"/>
  <c r="A92" i="2"/>
  <c r="D91" i="2"/>
  <c r="E91" i="2"/>
  <c r="C91" i="2"/>
  <c r="G91" i="2"/>
  <c r="F91" i="2"/>
  <c r="B92" i="2" l="1"/>
  <c r="A93" i="2"/>
  <c r="F92" i="2"/>
  <c r="D92" i="2"/>
  <c r="C92" i="2"/>
  <c r="G92" i="2"/>
  <c r="E92" i="2"/>
  <c r="F93" i="2" l="1"/>
  <c r="B93" i="2"/>
  <c r="A94" i="2"/>
  <c r="G93" i="2"/>
  <c r="D93" i="2"/>
  <c r="C93" i="2"/>
  <c r="E93" i="2"/>
  <c r="F94" i="2" l="1"/>
  <c r="B94" i="2"/>
  <c r="A95" i="2"/>
  <c r="G94" i="2"/>
  <c r="D94" i="2"/>
  <c r="C94" i="2"/>
  <c r="E94" i="2"/>
  <c r="F95" i="2" l="1"/>
  <c r="A96" i="2"/>
  <c r="G95" i="2"/>
  <c r="B95" i="2"/>
  <c r="D95" i="2"/>
  <c r="E95" i="2"/>
  <c r="C95" i="2"/>
  <c r="B96" i="2" l="1"/>
  <c r="A97" i="2"/>
  <c r="E96" i="2"/>
  <c r="F96" i="2"/>
  <c r="D96" i="2"/>
  <c r="C96" i="2"/>
  <c r="G96" i="2"/>
  <c r="B97" i="2" l="1"/>
  <c r="A98" i="2"/>
  <c r="F97" i="2"/>
  <c r="C97" i="2"/>
  <c r="E97" i="2"/>
  <c r="D97" i="2"/>
  <c r="G97" i="2"/>
  <c r="B98" i="2" l="1"/>
  <c r="A99" i="2"/>
  <c r="F98" i="2"/>
  <c r="E98" i="2"/>
  <c r="C98" i="2"/>
  <c r="D98" i="2"/>
  <c r="G98" i="2"/>
  <c r="B99" i="2" l="1"/>
  <c r="D99" i="2"/>
  <c r="A100" i="2"/>
  <c r="G99" i="2"/>
  <c r="E99" i="2"/>
  <c r="F99" i="2"/>
  <c r="C99" i="2"/>
  <c r="B100" i="2" l="1"/>
  <c r="A101" i="2"/>
  <c r="F100" i="2"/>
  <c r="D100" i="2"/>
  <c r="C100" i="2"/>
  <c r="G100" i="2"/>
  <c r="E100" i="2"/>
  <c r="A102" i="2" l="1"/>
  <c r="C101" i="2"/>
  <c r="G101" i="2"/>
  <c r="F101" i="2"/>
  <c r="D101" i="2"/>
  <c r="B101" i="2"/>
  <c r="E101" i="2"/>
  <c r="F102" i="2" l="1"/>
  <c r="B102" i="2"/>
  <c r="A103" i="2"/>
  <c r="D102" i="2"/>
  <c r="G102" i="2"/>
  <c r="E102" i="2"/>
  <c r="C102" i="2"/>
  <c r="F103" i="2" l="1"/>
  <c r="B103" i="2"/>
  <c r="A104" i="2"/>
  <c r="E103" i="2"/>
  <c r="C103" i="2"/>
  <c r="D103" i="2"/>
  <c r="G103" i="2"/>
  <c r="B104" i="2" l="1"/>
  <c r="A105" i="2"/>
  <c r="F104" i="2"/>
  <c r="E104" i="2"/>
  <c r="D104" i="2"/>
  <c r="G104" i="2"/>
  <c r="C104" i="2"/>
  <c r="F105" i="2" l="1"/>
  <c r="B105" i="2"/>
  <c r="A106" i="2"/>
  <c r="E105" i="2"/>
  <c r="G105" i="2"/>
  <c r="C105" i="2"/>
  <c r="D105" i="2"/>
  <c r="A107" i="2" l="1"/>
  <c r="E106" i="2"/>
  <c r="C106" i="2"/>
  <c r="F106" i="2"/>
  <c r="D106" i="2"/>
  <c r="B106" i="2"/>
  <c r="G106" i="2"/>
  <c r="B107" i="2" l="1"/>
  <c r="A108" i="2"/>
  <c r="F107" i="2"/>
  <c r="D107" i="2"/>
  <c r="G107" i="2"/>
  <c r="E107" i="2"/>
  <c r="C107" i="2"/>
  <c r="B108" i="2" l="1"/>
  <c r="A109" i="2"/>
  <c r="F108" i="2"/>
  <c r="G108" i="2"/>
  <c r="E108" i="2"/>
  <c r="C108" i="2"/>
  <c r="D108" i="2"/>
  <c r="A110" i="2" l="1"/>
  <c r="D109" i="2"/>
  <c r="C109" i="2"/>
  <c r="G109" i="2"/>
  <c r="F109" i="2"/>
  <c r="B109" i="2"/>
  <c r="E109" i="2"/>
  <c r="F110" i="2" l="1"/>
  <c r="B110" i="2"/>
  <c r="A111" i="2"/>
  <c r="G110" i="2"/>
  <c r="D110" i="2"/>
  <c r="E110" i="2"/>
  <c r="C110" i="2"/>
  <c r="F111" i="2" l="1"/>
  <c r="A112" i="2"/>
  <c r="G111" i="2"/>
  <c r="E111" i="2"/>
  <c r="D111" i="2"/>
  <c r="C111" i="2"/>
  <c r="B111" i="2"/>
  <c r="B112" i="2" l="1"/>
  <c r="A113" i="2"/>
  <c r="D112" i="2"/>
  <c r="E112" i="2"/>
  <c r="F112" i="2"/>
  <c r="G112" i="2"/>
  <c r="C112" i="2"/>
  <c r="B113" i="2" l="1"/>
  <c r="A114" i="2"/>
  <c r="G113" i="2"/>
  <c r="E113" i="2"/>
  <c r="D113" i="2"/>
  <c r="C113" i="2"/>
  <c r="F113" i="2"/>
  <c r="F114" i="2" l="1"/>
  <c r="A115" i="2"/>
  <c r="B114" i="2"/>
  <c r="E114" i="2"/>
  <c r="C114" i="2"/>
  <c r="D114" i="2"/>
  <c r="G114" i="2"/>
  <c r="F115" i="2" l="1"/>
  <c r="B115" i="2"/>
  <c r="D115" i="2"/>
  <c r="A116" i="2"/>
  <c r="C115" i="2"/>
  <c r="G115" i="2"/>
  <c r="E115" i="2"/>
  <c r="B116" i="2" l="1"/>
  <c r="A117" i="2"/>
  <c r="G116" i="2"/>
  <c r="E116" i="2"/>
  <c r="C116" i="2"/>
  <c r="F116" i="2"/>
  <c r="D116" i="2"/>
  <c r="F117" i="2" l="1"/>
  <c r="A118" i="2"/>
  <c r="C117" i="2"/>
  <c r="B117" i="2"/>
  <c r="G117" i="2"/>
  <c r="D117" i="2"/>
  <c r="E117" i="2"/>
  <c r="F118" i="2" l="1"/>
  <c r="B118" i="2"/>
  <c r="A119" i="2"/>
  <c r="D118" i="2"/>
  <c r="G118" i="2"/>
  <c r="E118" i="2"/>
  <c r="C118" i="2"/>
  <c r="F119" i="2" l="1"/>
  <c r="A120" i="2"/>
  <c r="G119" i="2"/>
  <c r="D119" i="2"/>
  <c r="E119" i="2"/>
  <c r="B119" i="2"/>
  <c r="C119" i="2"/>
  <c r="B120" i="2" l="1"/>
  <c r="A121" i="2"/>
  <c r="F120" i="2"/>
  <c r="D120" i="2"/>
  <c r="E120" i="2"/>
  <c r="G120" i="2"/>
  <c r="C120" i="2"/>
  <c r="B121" i="2" l="1"/>
  <c r="A122" i="2"/>
  <c r="G121" i="2"/>
  <c r="E121" i="2"/>
  <c r="D121" i="2"/>
  <c r="C121" i="2"/>
  <c r="F121" i="2"/>
  <c r="A123" i="2" l="1"/>
  <c r="F122" i="2"/>
  <c r="E122" i="2"/>
  <c r="C122" i="2"/>
  <c r="B122" i="2"/>
  <c r="D122" i="2"/>
  <c r="G122" i="2"/>
  <c r="B123" i="2" l="1"/>
  <c r="A124" i="2"/>
  <c r="D123" i="2"/>
  <c r="F123" i="2"/>
  <c r="G123" i="2"/>
  <c r="E123" i="2"/>
  <c r="C123" i="2"/>
  <c r="B124" i="2" l="1"/>
  <c r="A125" i="2"/>
  <c r="F124" i="2"/>
  <c r="C124" i="2"/>
  <c r="G124" i="2"/>
  <c r="E124" i="2"/>
  <c r="D124" i="2"/>
  <c r="F125" i="2" l="1"/>
  <c r="A126" i="2"/>
  <c r="C125" i="2"/>
  <c r="G125" i="2"/>
  <c r="B125" i="2"/>
  <c r="D125" i="2"/>
  <c r="E125" i="2"/>
  <c r="F126" i="2" l="1"/>
  <c r="B126" i="2"/>
  <c r="A127" i="2"/>
  <c r="G126" i="2"/>
  <c r="E126" i="2"/>
  <c r="C126" i="2"/>
  <c r="D126" i="2"/>
  <c r="F127" i="2" l="1"/>
  <c r="A128" i="2"/>
  <c r="D127" i="2"/>
  <c r="E127" i="2"/>
  <c r="C127" i="2"/>
  <c r="B127" i="2"/>
  <c r="G127" i="2"/>
  <c r="B128" i="2" l="1"/>
  <c r="A129" i="2"/>
  <c r="D128" i="2"/>
  <c r="F128" i="2"/>
  <c r="E128" i="2"/>
  <c r="G128" i="2"/>
  <c r="C128" i="2"/>
  <c r="B129" i="2" l="1"/>
  <c r="A130" i="2"/>
  <c r="F129" i="2"/>
  <c r="E129" i="2"/>
  <c r="D129" i="2"/>
  <c r="G129" i="2"/>
  <c r="C129" i="2"/>
  <c r="A131" i="2" l="1"/>
  <c r="F130" i="2"/>
  <c r="E130" i="2"/>
  <c r="C130" i="2"/>
  <c r="D130" i="2"/>
  <c r="B130" i="2"/>
  <c r="G130" i="2"/>
  <c r="B131" i="2" l="1"/>
  <c r="D131" i="2"/>
  <c r="A132" i="2"/>
  <c r="C131" i="2"/>
  <c r="F131" i="2"/>
  <c r="G131" i="2"/>
  <c r="E131" i="2"/>
  <c r="B132" i="2" l="1"/>
  <c r="A133" i="2"/>
  <c r="G132" i="2"/>
  <c r="E132" i="2"/>
  <c r="C132" i="2"/>
  <c r="F132" i="2"/>
  <c r="D132" i="2"/>
  <c r="C133" i="2" l="1"/>
  <c r="G133" i="2"/>
  <c r="F133" i="2"/>
  <c r="D133" i="2"/>
  <c r="B133" i="2"/>
  <c r="E133" i="2"/>
  <c r="H191" i="1" l="1"/>
  <c r="H192" i="1"/>
  <c r="J191" i="1"/>
  <c r="K191" i="1" s="1"/>
  <c r="I193" i="1"/>
  <c r="G193" i="1"/>
  <c r="H193" i="1"/>
  <c r="J193" i="1"/>
  <c r="K193" i="1" s="1"/>
  <c r="I192" i="1"/>
  <c r="H190" i="1"/>
  <c r="I189" i="1"/>
  <c r="I190" i="1"/>
  <c r="J192" i="1"/>
  <c r="K192" i="1" s="1"/>
  <c r="G191" i="1"/>
  <c r="J190" i="1"/>
  <c r="K190" i="1" s="1"/>
  <c r="I191" i="1"/>
  <c r="G190" i="1"/>
  <c r="J189" i="1"/>
  <c r="K189" i="1" s="1"/>
  <c r="G192" i="1"/>
  <c r="H189" i="1"/>
  <c r="G189" i="1"/>
  <c r="F102" i="1" l="1"/>
  <c r="E138" i="1" s="1"/>
  <c r="F101" i="1" l="1"/>
  <c r="C138" i="1" s="1"/>
  <c r="F138" i="1" l="1"/>
  <c r="F133" i="1"/>
  <c r="G133" i="1" s="1"/>
  <c r="F152" i="1" l="1"/>
  <c r="D184" i="1" s="1"/>
  <c r="C202" i="1" s="1"/>
  <c r="C210" i="1" s="1"/>
  <c r="G138" i="1"/>
  <c r="G152" i="1" l="1"/>
  <c r="L130" i="1"/>
  <c r="L129" i="1"/>
  <c r="K203" i="1"/>
  <c r="K205" i="1" s="1"/>
  <c r="K206" i="1" s="1"/>
  <c r="K207" i="1" s="1"/>
  <c r="L203" i="1"/>
  <c r="L205" i="1" s="1"/>
  <c r="L206" i="1" s="1"/>
  <c r="L207" i="1" s="1"/>
  <c r="I203" i="1"/>
  <c r="I205" i="1" s="1"/>
  <c r="I206" i="1" s="1"/>
  <c r="I207" i="1" s="1"/>
  <c r="E203" i="1"/>
  <c r="G203" i="1"/>
  <c r="F203" i="1"/>
  <c r="L127" i="1"/>
  <c r="J203" i="1"/>
  <c r="J205" i="1" s="1"/>
  <c r="J206" i="1" s="1"/>
  <c r="J207" i="1" s="1"/>
  <c r="H203" i="1"/>
  <c r="N216" i="1"/>
  <c r="D186" i="1"/>
  <c r="D203" i="1" l="1"/>
  <c r="M203" i="1"/>
  <c r="D187" i="1"/>
  <c r="D188" i="1"/>
  <c r="D189" i="1"/>
  <c r="C201" i="1" s="1"/>
  <c r="C208" i="1" s="1"/>
  <c r="B3" i="2" l="1"/>
  <c r="M201" i="1" l="1"/>
  <c r="D27" i="2"/>
  <c r="E52" i="2"/>
  <c r="D70" i="2"/>
  <c r="D41" i="2"/>
  <c r="D40" i="2"/>
  <c r="B9" i="2"/>
  <c r="E45" i="2"/>
  <c r="E67" i="2"/>
  <c r="D53" i="2"/>
  <c r="D30" i="2"/>
  <c r="D49" i="2"/>
  <c r="E34" i="2"/>
  <c r="D18" i="2"/>
  <c r="E47" i="2"/>
  <c r="E62" i="2"/>
  <c r="C56" i="2"/>
  <c r="C41" i="2"/>
  <c r="C29" i="2"/>
  <c r="C63" i="2"/>
  <c r="C49" i="2"/>
  <c r="C15" i="2"/>
  <c r="C70" i="2"/>
  <c r="B70" i="2" s="1"/>
  <c r="C68" i="2"/>
  <c r="C14" i="2"/>
  <c r="C30" i="2"/>
  <c r="E27" i="2"/>
  <c r="D35" i="2"/>
  <c r="E50" i="2"/>
  <c r="C38" i="2"/>
  <c r="D15" i="2"/>
  <c r="D52" i="2"/>
  <c r="E49" i="2"/>
  <c r="E51" i="2"/>
  <c r="D46" i="2"/>
  <c r="E48" i="2"/>
  <c r="D20" i="2"/>
  <c r="D45" i="2"/>
  <c r="E64" i="2"/>
  <c r="D73" i="2"/>
  <c r="D24" i="2"/>
  <c r="E43" i="2"/>
  <c r="D55" i="2"/>
  <c r="E66" i="2"/>
  <c r="C42" i="2"/>
  <c r="C32" i="2"/>
  <c r="C51" i="2"/>
  <c r="C55" i="2"/>
  <c r="C64" i="2"/>
  <c r="C26" i="2"/>
  <c r="E40" i="2"/>
  <c r="C34" i="2"/>
  <c r="D68" i="2"/>
  <c r="D66" i="2"/>
  <c r="D17" i="2"/>
  <c r="D23" i="2"/>
  <c r="E23" i="2"/>
  <c r="E17" i="2"/>
  <c r="E70" i="2"/>
  <c r="E16" i="2"/>
  <c r="E21" i="2"/>
  <c r="E73" i="2"/>
  <c r="E55" i="2"/>
  <c r="D32" i="2"/>
  <c r="E42" i="2"/>
  <c r="D16" i="2"/>
  <c r="C43" i="2"/>
  <c r="C44" i="2"/>
  <c r="C18" i="2"/>
  <c r="C20" i="2"/>
  <c r="C73" i="2"/>
  <c r="E26" i="2"/>
  <c r="C71" i="2"/>
  <c r="C66" i="2"/>
  <c r="C47" i="2"/>
  <c r="C54" i="2"/>
  <c r="E63" i="2"/>
  <c r="E65" i="2"/>
  <c r="D44" i="2"/>
  <c r="E20" i="2"/>
  <c r="D37" i="2"/>
  <c r="D60" i="2"/>
  <c r="E44" i="2"/>
  <c r="D72" i="2"/>
  <c r="E41" i="2"/>
  <c r="D21" i="2"/>
  <c r="D43" i="2"/>
  <c r="E35" i="2"/>
  <c r="D61" i="2"/>
  <c r="E53" i="2"/>
  <c r="E58" i="2"/>
  <c r="C60" i="2"/>
  <c r="C22" i="2"/>
  <c r="C45" i="2"/>
  <c r="B45" i="2" s="1"/>
  <c r="C37" i="2"/>
  <c r="C21" i="2"/>
  <c r="D26" i="2"/>
  <c r="C50" i="2"/>
  <c r="D34" i="2"/>
  <c r="E71" i="2"/>
  <c r="E19" i="2"/>
  <c r="E59" i="2"/>
  <c r="C33" i="2"/>
  <c r="C17" i="2"/>
  <c r="E38" i="2"/>
  <c r="C25" i="2"/>
  <c r="C52" i="2"/>
  <c r="D48" i="2"/>
  <c r="D63" i="2"/>
  <c r="D59" i="2"/>
  <c r="E36" i="2"/>
  <c r="E39" i="2"/>
  <c r="E18" i="2"/>
  <c r="E31" i="2"/>
  <c r="E28" i="2"/>
  <c r="E15" i="2"/>
  <c r="D56" i="2"/>
  <c r="D58" i="2"/>
  <c r="D69" i="2"/>
  <c r="B5" i="2"/>
  <c r="D57" i="2"/>
  <c r="E54" i="2"/>
  <c r="C31" i="2"/>
  <c r="C46" i="2"/>
  <c r="B46" i="2" s="1"/>
  <c r="D62" i="2"/>
  <c r="C27" i="2"/>
  <c r="C40" i="2"/>
  <c r="C72" i="2"/>
  <c r="C24" i="2"/>
  <c r="C35" i="2"/>
  <c r="C28" i="2"/>
  <c r="C61" i="2"/>
  <c r="E14" i="2"/>
  <c r="C62" i="2"/>
  <c r="D38" i="2"/>
  <c r="C69" i="2"/>
  <c r="D14" i="2"/>
  <c r="E46" i="2"/>
  <c r="E30" i="2"/>
  <c r="D25" i="2"/>
  <c r="E24" i="2"/>
  <c r="E29" i="2"/>
  <c r="C59" i="2"/>
  <c r="C36" i="2"/>
  <c r="C48" i="2"/>
  <c r="D51" i="2"/>
  <c r="D22" i="2"/>
  <c r="D33" i="2"/>
  <c r="D54" i="2"/>
  <c r="E72" i="2"/>
  <c r="D67" i="2"/>
  <c r="E32" i="2"/>
  <c r="D29" i="2"/>
  <c r="D47" i="2"/>
  <c r="E33" i="2"/>
  <c r="D39" i="2"/>
  <c r="E56" i="2"/>
  <c r="E25" i="2"/>
  <c r="E68" i="2"/>
  <c r="C23" i="2"/>
  <c r="C57" i="2"/>
  <c r="B57" i="2" s="1"/>
  <c r="C39" i="2"/>
  <c r="C53" i="2"/>
  <c r="B53" i="2" s="1"/>
  <c r="C58" i="2"/>
  <c r="D28" i="2"/>
  <c r="D65" i="2"/>
  <c r="E57" i="2"/>
  <c r="E61" i="2"/>
  <c r="D71" i="2"/>
  <c r="E37" i="2"/>
  <c r="E69" i="2"/>
  <c r="D19" i="2"/>
  <c r="D31" i="2"/>
  <c r="E22" i="2"/>
  <c r="D64" i="2"/>
  <c r="B8" i="2"/>
  <c r="E60" i="2"/>
  <c r="D42" i="2"/>
  <c r="D36" i="2"/>
  <c r="D50" i="2"/>
  <c r="C16" i="2"/>
  <c r="C67" i="2"/>
  <c r="C19" i="2"/>
  <c r="C65" i="2"/>
  <c r="B24" i="2" l="1"/>
  <c r="B23" i="2"/>
  <c r="B20" i="2"/>
  <c r="B35" i="2"/>
  <c r="B19" i="2"/>
  <c r="B49" i="2"/>
  <c r="B27" i="2"/>
  <c r="B16" i="2"/>
  <c r="B60" i="2"/>
  <c r="B32" i="2"/>
  <c r="B48" i="2"/>
  <c r="B72" i="2"/>
  <c r="B73" i="2"/>
  <c r="B52" i="2"/>
  <c r="B39" i="2"/>
  <c r="B30" i="2"/>
  <c r="B41" i="2"/>
  <c r="B15" i="2"/>
  <c r="B67" i="2"/>
  <c r="I186" i="1"/>
  <c r="B69" i="2"/>
  <c r="B17" i="2"/>
  <c r="B55" i="2"/>
  <c r="H184" i="1"/>
  <c r="B59" i="2"/>
  <c r="H186" i="1"/>
  <c r="B40" i="2"/>
  <c r="B33" i="2"/>
  <c r="B37" i="2"/>
  <c r="B51" i="2"/>
  <c r="I184" i="1"/>
  <c r="H188" i="1"/>
  <c r="B22" i="2"/>
  <c r="B18" i="2"/>
  <c r="B42" i="2"/>
  <c r="I187" i="1"/>
  <c r="G188" i="1"/>
  <c r="B62" i="2"/>
  <c r="H187" i="1"/>
  <c r="B58" i="2"/>
  <c r="B61" i="2"/>
  <c r="B54" i="2"/>
  <c r="B44" i="2"/>
  <c r="B34" i="2"/>
  <c r="B63" i="2"/>
  <c r="B38" i="2"/>
  <c r="G186" i="1"/>
  <c r="B28" i="2"/>
  <c r="B31" i="2"/>
  <c r="B47" i="2"/>
  <c r="B43" i="2"/>
  <c r="B29" i="2"/>
  <c r="B25" i="2"/>
  <c r="B50" i="2"/>
  <c r="G187" i="1"/>
  <c r="B66" i="2"/>
  <c r="G185" i="1"/>
  <c r="B26" i="2"/>
  <c r="H185" i="1"/>
  <c r="B71" i="2"/>
  <c r="B64" i="2"/>
  <c r="B14" i="2"/>
  <c r="G184" i="1"/>
  <c r="B56" i="2"/>
  <c r="B65" i="2"/>
  <c r="B36" i="2"/>
  <c r="B21" i="2"/>
  <c r="I185" i="1"/>
  <c r="B68" i="2"/>
  <c r="I188" i="1"/>
  <c r="J184" i="1" l="1"/>
  <c r="K184" i="1" s="1"/>
  <c r="J187" i="1"/>
  <c r="J186" i="1"/>
  <c r="J185" i="1"/>
  <c r="J188" i="1"/>
  <c r="I194" i="1"/>
  <c r="G194" i="1"/>
  <c r="H194" i="1"/>
  <c r="H204" i="1" l="1"/>
  <c r="H205" i="1" s="1"/>
  <c r="H206" i="1" s="1"/>
  <c r="H207" i="1" s="1"/>
  <c r="H209" i="1" s="1"/>
  <c r="S216" i="1" s="1"/>
  <c r="K188" i="1"/>
  <c r="E204" i="1"/>
  <c r="E205" i="1" s="1"/>
  <c r="E206" i="1" s="1"/>
  <c r="E207" i="1" s="1"/>
  <c r="E209" i="1" s="1"/>
  <c r="P216" i="1" s="1"/>
  <c r="K185" i="1"/>
  <c r="F204" i="1"/>
  <c r="F205" i="1" s="1"/>
  <c r="F206" i="1" s="1"/>
  <c r="K186" i="1"/>
  <c r="G204" i="1"/>
  <c r="G205" i="1" s="1"/>
  <c r="G206" i="1" s="1"/>
  <c r="G207" i="1" s="1"/>
  <c r="G209" i="1" s="1"/>
  <c r="R216" i="1" s="1"/>
  <c r="K187" i="1"/>
  <c r="D204" i="1"/>
  <c r="K209" i="1"/>
  <c r="V216" i="1" s="1"/>
  <c r="J209" i="1"/>
  <c r="U216" i="1" s="1"/>
  <c r="I209" i="1"/>
  <c r="T216" i="1" s="1"/>
  <c r="L209" i="1"/>
  <c r="W216" i="1" s="1"/>
  <c r="J194" i="1"/>
  <c r="F207" i="1" l="1"/>
  <c r="F209" i="1" s="1"/>
  <c r="Q216" i="1" s="1"/>
  <c r="M204" i="1"/>
  <c r="D205" i="1"/>
  <c r="M205" i="1" s="1"/>
  <c r="C219" i="1"/>
  <c r="D206" i="1" l="1"/>
  <c r="M206" i="1" s="1"/>
  <c r="D207" i="1" l="1"/>
  <c r="D209" i="1" s="1"/>
  <c r="D208" i="1" l="1"/>
  <c r="E208" i="1" s="1"/>
  <c r="F208" i="1" s="1"/>
  <c r="G208" i="1" s="1"/>
  <c r="H208" i="1" s="1"/>
  <c r="I208" i="1" s="1"/>
  <c r="J208" i="1" s="1"/>
  <c r="K208" i="1" s="1"/>
  <c r="L208" i="1" s="1"/>
  <c r="N215" i="1"/>
  <c r="M207" i="1"/>
  <c r="C215" i="1"/>
  <c r="O216" i="1"/>
  <c r="D210" i="1"/>
  <c r="E210" i="1" s="1"/>
  <c r="F210" i="1" s="1"/>
  <c r="G210" i="1" s="1"/>
  <c r="H210" i="1" s="1"/>
  <c r="I210" i="1" l="1"/>
  <c r="J210" i="1" s="1"/>
  <c r="K210" i="1" s="1"/>
  <c r="L210" i="1" s="1"/>
  <c r="P218" i="1" s="1"/>
  <c r="O218" i="1" s="1"/>
  <c r="C217" i="1"/>
  <c r="N217" i="1" s="1"/>
  <c r="D217" i="1" s="1"/>
  <c r="C216" i="1"/>
  <c r="N218" i="1" l="1"/>
  <c r="C218" i="1" s="1"/>
  <c r="D218" i="1" l="1"/>
</calcChain>
</file>

<file path=xl/sharedStrings.xml><?xml version="1.0" encoding="utf-8"?>
<sst xmlns="http://schemas.openxmlformats.org/spreadsheetml/2006/main" count="519" uniqueCount="373">
  <si>
    <t>ETUDE RENTABILITE SOLUTIONS USAGE PRODUCTIF</t>
  </si>
  <si>
    <t>PRESSE A HUILE BAOBAB &amp; MORINGA</t>
  </si>
  <si>
    <t>Cases à vérifier</t>
  </si>
  <si>
    <t>Cases à compléter</t>
  </si>
  <si>
    <t>Cases à laisser vides</t>
  </si>
  <si>
    <t>Cases calculées</t>
  </si>
  <si>
    <t>Caractéristiques techniques du Projet</t>
  </si>
  <si>
    <t>Usage Productif</t>
  </si>
  <si>
    <t>Rendement (kg/heure)</t>
  </si>
  <si>
    <t>Puissance (kW)</t>
  </si>
  <si>
    <t>Prix (FCFA)</t>
  </si>
  <si>
    <t>Energie consommée (KWh/j)</t>
  </si>
  <si>
    <t>Energie à produire (kWh/j)</t>
  </si>
  <si>
    <t>Fonctionnement optimal</t>
  </si>
  <si>
    <t>Coefficient déperdition (k)</t>
  </si>
  <si>
    <t>Projet</t>
  </si>
  <si>
    <t>Nominale</t>
  </si>
  <si>
    <t>heures par jour</t>
  </si>
  <si>
    <t>jours à l'année</t>
  </si>
  <si>
    <t>Presse KK baobab</t>
  </si>
  <si>
    <t>Presse KK moringa</t>
  </si>
  <si>
    <t>Dépulpeuse électrique</t>
  </si>
  <si>
    <t>Moulin solaire</t>
  </si>
  <si>
    <t>Huile</t>
  </si>
  <si>
    <t>Vitesse rotation</t>
  </si>
  <si>
    <t>Taille buse</t>
  </si>
  <si>
    <t>Graine ou poudre</t>
  </si>
  <si>
    <t>Energie (kWh)</t>
  </si>
  <si>
    <t>Quantité (Kg)</t>
  </si>
  <si>
    <t>Temps pressage (Min)</t>
  </si>
  <si>
    <t>Densité</t>
  </si>
  <si>
    <t>Teneur</t>
  </si>
  <si>
    <t>Rendement huile (L/kg)</t>
  </si>
  <si>
    <t>Tourteaux</t>
  </si>
  <si>
    <t>Baobab</t>
  </si>
  <si>
    <t>16 ou sans</t>
  </si>
  <si>
    <t>Poudre</t>
  </si>
  <si>
    <t>Graines</t>
  </si>
  <si>
    <t>Moringa</t>
  </si>
  <si>
    <t>Alimentation Solaire</t>
  </si>
  <si>
    <t>Coefficient déperdition</t>
  </si>
  <si>
    <t>Tension (V)</t>
  </si>
  <si>
    <t>Batteries</t>
  </si>
  <si>
    <t>Capacité (Ampères/h)</t>
  </si>
  <si>
    <t>Durée de vie*</t>
  </si>
  <si>
    <t>* en conditions optimales, annoncées constructeur</t>
  </si>
  <si>
    <t>Sharp ND-AC275</t>
  </si>
  <si>
    <t>24V</t>
  </si>
  <si>
    <t>Victron Energy Gel</t>
  </si>
  <si>
    <t>BlueSolar SPM-300-24 Monocristallin</t>
  </si>
  <si>
    <t>Tension nécessaire système</t>
  </si>
  <si>
    <t>Onduleur</t>
  </si>
  <si>
    <t>kVa</t>
  </si>
  <si>
    <t>Régulateur</t>
  </si>
  <si>
    <t>Vitron Energy Phoenix</t>
  </si>
  <si>
    <t>BlueSolar 150V 35A de Victron Energy</t>
  </si>
  <si>
    <t>12V/24V/48V</t>
  </si>
  <si>
    <t>Xtender</t>
  </si>
  <si>
    <t>Irradiation Solaire</t>
  </si>
  <si>
    <t xml:space="preserve">Month </t>
  </si>
  <si>
    <t xml:space="preserve">Jan </t>
  </si>
  <si>
    <t xml:space="preserve">Feb </t>
  </si>
  <si>
    <t xml:space="preserve">Mar </t>
  </si>
  <si>
    <t xml:space="preserve">Apr </t>
  </si>
  <si>
    <t xml:space="preserve">May </t>
  </si>
  <si>
    <t xml:space="preserve">Jun </t>
  </si>
  <si>
    <t xml:space="preserve">Jul </t>
  </si>
  <si>
    <t xml:space="preserve">Aug </t>
  </si>
  <si>
    <t xml:space="preserve">Sep </t>
  </si>
  <si>
    <t xml:space="preserve">Oct </t>
  </si>
  <si>
    <t xml:space="preserve">Nov </t>
  </si>
  <si>
    <t xml:space="preserve">Dec </t>
  </si>
  <si>
    <t>Year</t>
  </si>
  <si>
    <t>H(15)*</t>
  </si>
  <si>
    <t>Électricité du réseau</t>
  </si>
  <si>
    <t>1ère Tranche</t>
  </si>
  <si>
    <t>2ème Tranche</t>
  </si>
  <si>
    <t>3ème Tranche</t>
  </si>
  <si>
    <t>Total</t>
  </si>
  <si>
    <t>UP-Petite Puissance</t>
  </si>
  <si>
    <t>Tranche (KWh)</t>
  </si>
  <si>
    <t>∞</t>
  </si>
  <si>
    <t>Energie par Tranche</t>
  </si>
  <si>
    <t>Prix (KWh)</t>
  </si>
  <si>
    <t>Coût (FCFA)</t>
  </si>
  <si>
    <t>UP-Moyenne Puissance</t>
  </si>
  <si>
    <t>Tranche</t>
  </si>
  <si>
    <t>Choix de dimensionnement du projet</t>
  </si>
  <si>
    <t>Production min. souhaitée (kg graine/jour)</t>
  </si>
  <si>
    <t>Temps de fonctionnement (heures)</t>
  </si>
  <si>
    <t>Ratio Baobab/Moringa</t>
  </si>
  <si>
    <t>Part des graines dans le poids total du fruit de baobab</t>
  </si>
  <si>
    <t>Choix de la presse</t>
  </si>
  <si>
    <t>Choix de l'alimentation solaire</t>
  </si>
  <si>
    <t>Choix du système de stokage</t>
  </si>
  <si>
    <t>Choix de l'onduleur</t>
  </si>
  <si>
    <t>Choix du régulateur</t>
  </si>
  <si>
    <t>Choix décortiqueuse solaire</t>
  </si>
  <si>
    <t>Choix moulin solaire</t>
  </si>
  <si>
    <t>Oui</t>
  </si>
  <si>
    <t>Equivalent Réseau</t>
  </si>
  <si>
    <t>Autonomie nécessaires au projet (jours)</t>
  </si>
  <si>
    <t>Profondeur décharge batteries</t>
  </si>
  <si>
    <t>Choix du cas pour dimensionnement solaire</t>
  </si>
  <si>
    <t>best case</t>
  </si>
  <si>
    <t>worst case</t>
  </si>
  <si>
    <t>average</t>
  </si>
  <si>
    <t>x</t>
  </si>
  <si>
    <t>Energie journalière consommée (KWh)</t>
  </si>
  <si>
    <t>KWh</t>
  </si>
  <si>
    <t>Puissance crête projet (KW)</t>
  </si>
  <si>
    <t>Capacité totale système stockage (Ampères/heure)</t>
  </si>
  <si>
    <t>Nb de presses</t>
  </si>
  <si>
    <t>unités</t>
  </si>
  <si>
    <t>Nb décortiqueuses</t>
  </si>
  <si>
    <t>Nb de panneaux solaires</t>
  </si>
  <si>
    <t>=ARRONDI.SUP(F77/INDEX(C:C;EQUIV(F61;B:B;0));0)</t>
  </si>
  <si>
    <t>Nb de batteries en série</t>
  </si>
  <si>
    <t>=ARRONDI.SUP(I37/INDEX(K:K;EQUIV(F62;H:H;0));0)</t>
  </si>
  <si>
    <t>Nb de batteries en dérivation</t>
  </si>
  <si>
    <t>=ARRONDI.SUP(F78/INDEX(I:I;EQUIV(F62;H:H;0));0)</t>
  </si>
  <si>
    <t>Nb de batteries total</t>
  </si>
  <si>
    <t>Durée de vie attendue de la batterie</t>
  </si>
  <si>
    <t>ans</t>
  </si>
  <si>
    <t>Nb onduleurs</t>
  </si>
  <si>
    <t>=SI(OU(I37=24;I37=12);1;2)</t>
  </si>
  <si>
    <t>Nb régulateurs</t>
  </si>
  <si>
    <t xml:space="preserve">Ratio de fonctionnement </t>
  </si>
  <si>
    <t>Employés nécessaires pour fonctionnement</t>
  </si>
  <si>
    <t>personnes</t>
  </si>
  <si>
    <t>Extrant annuel attendu en huile de Baobab</t>
  </si>
  <si>
    <t>Litres</t>
  </si>
  <si>
    <t>Extrant annuel attendu en huile de Moringa</t>
  </si>
  <si>
    <t>Extrant annuel attendu en tourteaux</t>
  </si>
  <si>
    <t>Kilos</t>
  </si>
  <si>
    <t>Intrant annuel attendu en fruits de Baobab</t>
  </si>
  <si>
    <t>Intrant annuel attendu en graines de Moringa</t>
  </si>
  <si>
    <t>Plantation Moringa</t>
  </si>
  <si>
    <t>plants</t>
  </si>
  <si>
    <t>Plants</t>
  </si>
  <si>
    <t>Kg en moyenne par arbre</t>
  </si>
  <si>
    <t>production</t>
  </si>
  <si>
    <t>disponibilité (année)</t>
  </si>
  <si>
    <t>ème année</t>
  </si>
  <si>
    <t>Calcul de charges variables et fixes</t>
  </si>
  <si>
    <t>CHARGES VARIABLES D'EXPLOITATION</t>
  </si>
  <si>
    <t>Désignation</t>
  </si>
  <si>
    <t>Quantité</t>
  </si>
  <si>
    <t>Prix unitaire</t>
  </si>
  <si>
    <t>Montant total/an</t>
  </si>
  <si>
    <t>Montant total/an avec plantation</t>
  </si>
  <si>
    <t>évolution annuelle charges d'exploitation</t>
  </si>
  <si>
    <t>Graines de Baobab non décortiquées</t>
  </si>
  <si>
    <t>Part charges imputables au business de l'huile (Baobab)*</t>
  </si>
  <si>
    <t>Graines de Moringa décortiquées</t>
  </si>
  <si>
    <t xml:space="preserve">* La création de Bouye sera gérée par RaS, les charges sont donc réparties </t>
  </si>
  <si>
    <t>Transport graines</t>
  </si>
  <si>
    <t>sacs</t>
  </si>
  <si>
    <t>entre les 2 projets selon le poids de chaque transformation dans le revenu généré</t>
  </si>
  <si>
    <t>Conditionnement</t>
  </si>
  <si>
    <t>litres</t>
  </si>
  <si>
    <t>Etiquetage</t>
  </si>
  <si>
    <t>étiquettes</t>
  </si>
  <si>
    <t>Salaires</t>
  </si>
  <si>
    <t>Logistique Vente</t>
  </si>
  <si>
    <t>logistique magasins</t>
  </si>
  <si>
    <t>Avantage coût électricité PV vs. Réseau</t>
  </si>
  <si>
    <t>Sur 1 an</t>
  </si>
  <si>
    <t>Autre</t>
  </si>
  <si>
    <t xml:space="preserve"> TOTAL (F CFA) </t>
  </si>
  <si>
    <t>Sur 5 ans</t>
  </si>
  <si>
    <t>Sur 9 ans</t>
  </si>
  <si>
    <t>INVESTISSEMENTS</t>
  </si>
  <si>
    <t xml:space="preserve">Désignation </t>
  </si>
  <si>
    <t>Prix unitaire TTC</t>
  </si>
  <si>
    <t>Durée de vie (an)</t>
  </si>
  <si>
    <t>Montant Total TTC</t>
  </si>
  <si>
    <t>Amortissement annuel</t>
  </si>
  <si>
    <t>Presse</t>
  </si>
  <si>
    <t>Dépulpeuse</t>
  </si>
  <si>
    <t>Séchoir solaire</t>
  </si>
  <si>
    <t xml:space="preserve">Modules PV </t>
  </si>
  <si>
    <t xml:space="preserve">Batterie </t>
  </si>
  <si>
    <t xml:space="preserve">Régulateur </t>
  </si>
  <si>
    <t xml:space="preserve">Onduleur chargeur  </t>
  </si>
  <si>
    <t>Support aluminium</t>
  </si>
  <si>
    <t xml:space="preserve">Démarreur </t>
  </si>
  <si>
    <t xml:space="preserve">Parafoudre </t>
  </si>
  <si>
    <t xml:space="preserve">Câbles et accessoires </t>
  </si>
  <si>
    <t xml:space="preserve">Système alimentation continue </t>
  </si>
  <si>
    <t>Système de décantation</t>
  </si>
  <si>
    <t>Filtre Huile</t>
  </si>
  <si>
    <t>Local</t>
  </si>
  <si>
    <t>Installation</t>
  </si>
  <si>
    <t>Certifications (bio, etc.)</t>
  </si>
  <si>
    <t>Autre: FRA, codes barres, etc.</t>
  </si>
  <si>
    <t>Calcul des recettes d'exploitation</t>
  </si>
  <si>
    <t>RECETTES D'EXPLOITATION</t>
  </si>
  <si>
    <t>Recettes annuelles</t>
  </si>
  <si>
    <t>évolution annuelle recettes d'exploitation</t>
  </si>
  <si>
    <t>production huile baobab (L)</t>
  </si>
  <si>
    <t>production huile moringa (L)</t>
  </si>
  <si>
    <t>production tourteau (kg)</t>
  </si>
  <si>
    <t>TOTAL (F CFA)</t>
  </si>
  <si>
    <t>Ressources et Financement des investissements</t>
  </si>
  <si>
    <t>BFR (Besoin en fonds de roulement)</t>
  </si>
  <si>
    <t>Type de tiers</t>
  </si>
  <si>
    <t>Client/fournisseur</t>
  </si>
  <si>
    <t>Délais de paiement / stocks (jours)</t>
  </si>
  <si>
    <t>Part des achats/ventes</t>
  </si>
  <si>
    <t>Producteurs/vendeurs graines</t>
  </si>
  <si>
    <t>founisseur</t>
  </si>
  <si>
    <t>transport graine</t>
  </si>
  <si>
    <t>transport huile</t>
  </si>
  <si>
    <t>Acheteurs huile brute (internationaux)</t>
  </si>
  <si>
    <t>client</t>
  </si>
  <si>
    <t>Acheteurs huile brute (locaux)</t>
  </si>
  <si>
    <t>Stocks de consommable (graines)</t>
  </si>
  <si>
    <t>Stocks de produits finis (huile)</t>
  </si>
  <si>
    <t>Créances clients</t>
  </si>
  <si>
    <t>Crédit fournisseurs</t>
  </si>
  <si>
    <t>Impact Stocks consommable</t>
  </si>
  <si>
    <t>Impact Stocks produits finis</t>
  </si>
  <si>
    <t>BFR</t>
  </si>
  <si>
    <t>F CFA</t>
  </si>
  <si>
    <t>SCHÉMA DE FINANCEMENT</t>
  </si>
  <si>
    <t>ECHEANCIER DE REMBOURSEMENT</t>
  </si>
  <si>
    <t>Part</t>
  </si>
  <si>
    <t>Montant total TTC</t>
  </si>
  <si>
    <t>Année</t>
  </si>
  <si>
    <t>Capital</t>
  </si>
  <si>
    <t>Intérêts</t>
  </si>
  <si>
    <t>Reste</t>
  </si>
  <si>
    <t>Annuité</t>
  </si>
  <si>
    <t>Investissements</t>
  </si>
  <si>
    <t xml:space="preserve">Besoin en fonds de roulement </t>
  </si>
  <si>
    <t xml:space="preserve">COÛT TOTAL (F CFA) </t>
  </si>
  <si>
    <t>Apport personnel</t>
  </si>
  <si>
    <t>Subvention</t>
  </si>
  <si>
    <t>Emprunt</t>
  </si>
  <si>
    <t>Taux de l'emprunt</t>
  </si>
  <si>
    <t>Remboursement de l'emprunt (années)</t>
  </si>
  <si>
    <t>TOTAL</t>
  </si>
  <si>
    <t>RESULTAT BRUT D'EXPLOITATION (EBE)</t>
  </si>
  <si>
    <t>Désignation / Durée (années)</t>
  </si>
  <si>
    <t xml:space="preserve">Recettes  </t>
  </si>
  <si>
    <t xml:space="preserve">Dépenses </t>
  </si>
  <si>
    <t xml:space="preserve">Amortissements </t>
  </si>
  <si>
    <t>Remboursement emprunt</t>
  </si>
  <si>
    <t xml:space="preserve">Bénéfice avant impôts </t>
  </si>
  <si>
    <t xml:space="preserve">Impôts sur le bénéfice </t>
  </si>
  <si>
    <t xml:space="preserve">Bénéfice après impôts </t>
  </si>
  <si>
    <t>Trésorerie</t>
  </si>
  <si>
    <t>Cash Flows</t>
  </si>
  <si>
    <t>Cash Flows cumulés</t>
  </si>
  <si>
    <t>Indicateurs économiques</t>
  </si>
  <si>
    <t>VAN</t>
  </si>
  <si>
    <t>FCFA</t>
  </si>
  <si>
    <t>Taux d'actualisation</t>
  </si>
  <si>
    <t>Durée VAN (ans)</t>
  </si>
  <si>
    <t>calcul VAN</t>
  </si>
  <si>
    <t>TRI</t>
  </si>
  <si>
    <t>RSI</t>
  </si>
  <si>
    <t>DRCI</t>
  </si>
  <si>
    <t>DSCR</t>
  </si>
  <si>
    <t>Remboursement de prêt</t>
  </si>
  <si>
    <t>Taux annuel</t>
  </si>
  <si>
    <t>Capital emprunté</t>
  </si>
  <si>
    <t>Durée du prêt (en année)</t>
  </si>
  <si>
    <t>Mensualité à régler</t>
  </si>
  <si>
    <t>Formule mensualité</t>
  </si>
  <si>
    <t>=-VPM((1+B2)^(1/12)-1;B4*12;B3)</t>
  </si>
  <si>
    <t>Décomposition de la mensualité</t>
  </si>
  <si>
    <t>Remboursement du principal</t>
  </si>
  <si>
    <t>Formule principal</t>
  </si>
  <si>
    <t>=-PRINCPER((1+B2)^(1/12)-1;1;B4*12;B3)</t>
  </si>
  <si>
    <t>Remboursement des interêts</t>
  </si>
  <si>
    <t>Formule intérêt</t>
  </si>
  <si>
    <t>=-INTPER((1+B2)^(1/12)-1;1;B4*12;B3)</t>
  </si>
  <si>
    <t>Dans les formules ci-dessous Taux de période = TP =  (1+$B$2)^(1/12)-1</t>
  </si>
  <si>
    <t>Périodes</t>
  </si>
  <si>
    <t>Mensualité</t>
  </si>
  <si>
    <t>Reste (ou résiduel)</t>
  </si>
  <si>
    <t>Années</t>
  </si>
  <si>
    <t>Analyse économique</t>
  </si>
  <si>
    <t>Contexte</t>
  </si>
  <si>
    <t>SWOT</t>
  </si>
  <si>
    <t>Forces</t>
  </si>
  <si>
    <t>Faiblesses</t>
  </si>
  <si>
    <t>Opportunités</t>
  </si>
  <si>
    <t>Menaces</t>
  </si>
  <si>
    <t>Modèles économiques</t>
  </si>
  <si>
    <t>Modèle 1</t>
  </si>
  <si>
    <t>Modèle 2</t>
  </si>
  <si>
    <t>Business de transformation</t>
  </si>
  <si>
    <t>Intrant</t>
  </si>
  <si>
    <t>Extrant</t>
  </si>
  <si>
    <t>Solution 1</t>
  </si>
  <si>
    <t>Solution 2</t>
  </si>
  <si>
    <t>Nb presses</t>
  </si>
  <si>
    <t>Profitabilité</t>
  </si>
  <si>
    <t>1ère année</t>
  </si>
  <si>
    <t>Fonctionnement presse min (heures/jour)</t>
  </si>
  <si>
    <t>Prix de vente tourteaux minimum</t>
  </si>
  <si>
    <t>Bénéfice min cumulé sur 5 ans</t>
  </si>
  <si>
    <t>Bénéfice min cumulé sur 9 ans</t>
  </si>
  <si>
    <t>Alerte:</t>
  </si>
  <si>
    <t>Modèle 3</t>
  </si>
  <si>
    <t>Modèle 4</t>
  </si>
  <si>
    <t>Préconisations</t>
  </si>
  <si>
    <r>
      <t xml:space="preserve">Les producteurs d'arachides sont </t>
    </r>
    <r>
      <rPr>
        <b/>
        <sz val="12"/>
        <color theme="1"/>
        <rFont val="Calibri"/>
        <family val="2"/>
        <scheme val="minor"/>
      </rPr>
      <t>dépendants du prix de rachat de leurs graines</t>
    </r>
    <r>
      <rPr>
        <sz val="12"/>
        <color theme="1"/>
        <rFont val="Calibri"/>
        <family val="2"/>
        <scheme val="minor"/>
      </rPr>
      <t xml:space="preserve"> désormais </t>
    </r>
    <r>
      <rPr>
        <b/>
        <sz val="12"/>
        <color theme="1"/>
        <rFont val="Calibri"/>
        <family val="2"/>
        <scheme val="minor"/>
      </rPr>
      <t>fixé par l'Etat</t>
    </r>
    <r>
      <rPr>
        <sz val="12"/>
        <color theme="1"/>
        <rFont val="Calibri"/>
        <family val="2"/>
        <scheme val="minor"/>
      </rPr>
      <t xml:space="preserve"> mais qui doit premettre à la filière de rester compétitive notamment face aux autres huiles importées</t>
    </r>
  </si>
  <si>
    <r>
      <t xml:space="preserve">Des intermédiaires ont envahis le marché, les </t>
    </r>
    <r>
      <rPr>
        <b/>
        <sz val="12"/>
        <color theme="1"/>
        <rFont val="Calibri"/>
        <family val="2"/>
        <scheme val="minor"/>
      </rPr>
      <t>opérateurs privés de stockage (OPS)</t>
    </r>
    <r>
      <rPr>
        <sz val="12"/>
        <color theme="1"/>
        <rFont val="Calibri"/>
        <family val="2"/>
        <scheme val="minor"/>
      </rPr>
      <t xml:space="preserve"> qui achètent souvent à très bas prix les productions d'arachide qui doivent être écoulées (en-dessous du prix de l'Etat)</t>
    </r>
  </si>
  <si>
    <r>
      <t xml:space="preserve">La </t>
    </r>
    <r>
      <rPr>
        <b/>
        <sz val="12"/>
        <color theme="1"/>
        <rFont val="Calibri"/>
        <family val="2"/>
        <scheme val="minor"/>
      </rPr>
      <t>transformation</t>
    </r>
    <r>
      <rPr>
        <sz val="12"/>
        <color theme="1"/>
        <rFont val="Calibri"/>
        <family val="2"/>
        <scheme val="minor"/>
      </rPr>
      <t xml:space="preserve"> artisanale de l'arachide brute </t>
    </r>
    <r>
      <rPr>
        <b/>
        <sz val="12"/>
        <color theme="1"/>
        <rFont val="Calibri"/>
        <family val="2"/>
        <scheme val="minor"/>
      </rPr>
      <t>en huile est en plein essor</t>
    </r>
    <r>
      <rPr>
        <sz val="12"/>
        <color theme="1"/>
        <rFont val="Calibri"/>
        <family val="2"/>
        <scheme val="minor"/>
      </rPr>
      <t xml:space="preserve"> car elle permet de générer un revenu supplémentaire dans les bassins arachidiers</t>
    </r>
  </si>
  <si>
    <t>La transformation de l'arachide en huile au niveau artisanal a souvent été freinée par des problèmes importants: impossibilité de stocker la production d'arachide, développement de maladies (aflatoxine notamment), concurrence élevée des industriels, etc.</t>
  </si>
  <si>
    <r>
      <t xml:space="preserve">&gt; </t>
    </r>
    <r>
      <rPr>
        <b/>
        <u/>
        <sz val="12"/>
        <color theme="1"/>
        <rFont val="Calibri"/>
        <family val="2"/>
        <scheme val="minor"/>
      </rPr>
      <t>Potentiel de développement économique local important</t>
    </r>
    <r>
      <rPr>
        <sz val="12"/>
        <color theme="1"/>
        <rFont val="Calibri"/>
        <family val="2"/>
        <scheme val="minor"/>
      </rPr>
      <t xml:space="preserve">: augmentation nette </t>
    </r>
    <r>
      <rPr>
        <sz val="12"/>
        <color theme="1"/>
        <rFont val="Calibri"/>
        <family val="2"/>
        <scheme val="minor"/>
      </rPr>
      <t xml:space="preserve">des gains potentiels de revenus liés à la revente d'une huile brute pour la consommation locale. Avec un prix de vente situé entre le prix de l'huile brute à destination des raffineurs et de l'huile raffinée mise sur le marché (entre 800 et 1200 FCFA), le </t>
    </r>
    <r>
      <rPr>
        <u/>
        <sz val="12"/>
        <color theme="1"/>
        <rFont val="Calibri"/>
        <family val="2"/>
        <scheme val="minor"/>
      </rPr>
      <t>gain de CA par kilo d'arachide se situe entre 70 FCFA et 250 FCFA</t>
    </r>
    <r>
      <rPr>
        <sz val="12"/>
        <color theme="1"/>
        <rFont val="Calibri"/>
        <family val="2"/>
        <scheme val="minor"/>
      </rPr>
      <t xml:space="preserve">.
&gt; </t>
    </r>
    <r>
      <rPr>
        <b/>
        <u/>
        <sz val="12"/>
        <color theme="1"/>
        <rFont val="Calibri"/>
        <family val="2"/>
        <scheme val="minor"/>
      </rPr>
      <t>Qualité de l'huile</t>
    </r>
    <r>
      <rPr>
        <sz val="12"/>
        <color theme="1"/>
        <rFont val="Calibri"/>
        <family val="2"/>
        <scheme val="minor"/>
      </rPr>
      <t xml:space="preserve"> brute peut être </t>
    </r>
    <r>
      <rPr>
        <b/>
        <u/>
        <sz val="12"/>
        <color theme="1"/>
        <rFont val="Calibri"/>
        <family val="2"/>
        <scheme val="minor"/>
      </rPr>
      <t>améliorée sensiblement</t>
    </r>
    <r>
      <rPr>
        <sz val="12"/>
        <color theme="1"/>
        <rFont val="Calibri"/>
        <family val="2"/>
        <scheme val="minor"/>
      </rPr>
      <t xml:space="preserve"> avec les moyens techniques d'une presse solaire. Notamment pour lutter contre l'aflatoxine. L'ajout de filtres peut encore augmenter cette qualité et rapprocher le produit de l'huile raffinée.
&gt; la capacité de traitement de la presse solaire par rapport à la presse manuelle résout un certain nombre de problèmes liés au stockage de la graine</t>
    </r>
  </si>
  <si>
    <r>
      <t xml:space="preserve">&gt; Le projet a des </t>
    </r>
    <r>
      <rPr>
        <b/>
        <u/>
        <sz val="12"/>
        <color theme="1"/>
        <rFont val="Calibri"/>
        <family val="2"/>
        <scheme val="minor"/>
      </rPr>
      <t>gains marginaux peu élevés</t>
    </r>
    <r>
      <rPr>
        <sz val="12"/>
        <color theme="1"/>
        <rFont val="Calibri"/>
        <family val="2"/>
        <scheme val="minor"/>
      </rPr>
      <t xml:space="preserve">. Sa rentabilité passe donc par un fonctionnement intensif et un apport important de matière première qui n'est pas garanti. Par ailleurs, sa durée d'amortissement peut être longue et une toute variation des prix sur le marché de l'arachide peut l'affecter durablement
&gt; Il n'existe </t>
    </r>
    <r>
      <rPr>
        <b/>
        <u/>
        <sz val="12"/>
        <color theme="1"/>
        <rFont val="Calibri"/>
        <family val="2"/>
        <scheme val="minor"/>
      </rPr>
      <t>pas de projets de référence</t>
    </r>
    <r>
      <rPr>
        <sz val="12"/>
        <color theme="1"/>
        <rFont val="Calibri"/>
        <family val="2"/>
        <scheme val="minor"/>
      </rPr>
      <t xml:space="preserve"> similaires qui peuvent donner des indications claires sur la durabilité et la rentabilité de la solution</t>
    </r>
  </si>
  <si>
    <r>
      <t xml:space="preserve">&gt; Les </t>
    </r>
    <r>
      <rPr>
        <b/>
        <u/>
        <sz val="12"/>
        <color theme="1"/>
        <rFont val="Calibri"/>
        <family val="2"/>
        <scheme val="minor"/>
      </rPr>
      <t>transformateurs artisanaux d'huile d'arachide sont déjà nombreux</t>
    </r>
    <r>
      <rPr>
        <sz val="12"/>
        <color theme="1"/>
        <rFont val="Calibri"/>
        <family val="2"/>
        <scheme val="minor"/>
      </rPr>
      <t xml:space="preserve"> et le métier n'est pas nouveau. L'exploitation de l'avantage comparatif de la technologie solaire pourra donc rapidement porter ses fruits
&gt; </t>
    </r>
    <r>
      <rPr>
        <b/>
        <u/>
        <sz val="12"/>
        <color theme="1"/>
        <rFont val="Calibri"/>
        <family val="2"/>
        <scheme val="minor"/>
      </rPr>
      <t>Il existe une demande locale d'huile d'arachide</t>
    </r>
    <r>
      <rPr>
        <sz val="12"/>
        <color theme="1"/>
        <rFont val="Calibri"/>
        <family val="2"/>
        <scheme val="minor"/>
      </rPr>
      <t xml:space="preserve"> de meilleure qualité et économiquement attrayante: l'huile d'arachide est adaptée à la cuisine sénégalaise et la diminution des risques sanitaires la rendent à nouveau attrayante.
</t>
    </r>
  </si>
  <si>
    <r>
      <t xml:space="preserve">&gt; Le marché de l'huile d'arachide est un marché complexe: </t>
    </r>
    <r>
      <rPr>
        <b/>
        <u/>
        <sz val="12"/>
        <color theme="1"/>
        <rFont val="Calibri"/>
        <family val="2"/>
        <scheme val="minor"/>
      </rPr>
      <t>le challenge est économique plus que technologique</t>
    </r>
    <r>
      <rPr>
        <sz val="12"/>
        <color theme="1"/>
        <rFont val="Calibri"/>
        <family val="2"/>
        <scheme val="minor"/>
      </rPr>
      <t xml:space="preserve">. Les acteurs devront être accompagnés pour trouver les fournisseurs d'arachide et être capable de regrouper les productions et trouver les débouchés au niveau de la vente de l'huile brute.
&gt; Le marché est composé d'acteurs multiples et aux intérêts économiques importants. Le risque est élevé pour les bénéficiaires du projet de </t>
    </r>
    <r>
      <rPr>
        <b/>
        <u/>
        <sz val="12"/>
        <color theme="1"/>
        <rFont val="Calibri"/>
        <family val="2"/>
        <scheme val="minor"/>
      </rPr>
      <t>subir la concurrence</t>
    </r>
    <r>
      <rPr>
        <sz val="12"/>
        <color theme="1"/>
        <rFont val="Calibri"/>
        <family val="2"/>
        <scheme val="minor"/>
      </rPr>
      <t xml:space="preserve"> aussi bien </t>
    </r>
    <r>
      <rPr>
        <b/>
        <u/>
        <sz val="12"/>
        <color theme="1"/>
        <rFont val="Calibri"/>
        <family val="2"/>
        <scheme val="minor"/>
      </rPr>
      <t>loyale</t>
    </r>
    <r>
      <rPr>
        <sz val="12"/>
        <color theme="1"/>
        <rFont val="Calibri"/>
        <family val="2"/>
        <scheme val="minor"/>
      </rPr>
      <t xml:space="preserve"> des industriels </t>
    </r>
    <r>
      <rPr>
        <b/>
        <u/>
        <sz val="12"/>
        <color theme="1"/>
        <rFont val="Calibri"/>
        <family val="2"/>
        <scheme val="minor"/>
      </rPr>
      <t>et déloyale</t>
    </r>
    <r>
      <rPr>
        <sz val="12"/>
        <color theme="1"/>
        <rFont val="Calibri"/>
        <family val="2"/>
        <scheme val="minor"/>
      </rPr>
      <t xml:space="preserve"> des OPS</t>
    </r>
  </si>
  <si>
    <t>Graine décortiquée rachetée aux producteurs</t>
  </si>
  <si>
    <t>Graine non décortiquée rachetée aux producteurs</t>
  </si>
  <si>
    <t>Revente d'une l'huile non raffinée aux particuliers</t>
  </si>
  <si>
    <t>3ème année</t>
  </si>
  <si>
    <t>Intrant arachide min (kg)</t>
  </si>
  <si>
    <t>20,2 T</t>
  </si>
  <si>
    <t>33,6 T</t>
  </si>
  <si>
    <t>10,1 T</t>
  </si>
  <si>
    <t>13,4 T</t>
  </si>
  <si>
    <t>Prix achat arachide décortiquée maximum</t>
  </si>
  <si>
    <t>Prix vente huile brute minimum</t>
  </si>
  <si>
    <t>Incapacité des petits producteurs à décortiquer</t>
  </si>
  <si>
    <t>Nécessité d'acheter aux petits producteurs au prix fixé par l'Etat qui peut évoluer</t>
  </si>
  <si>
    <t>peut mener à privilégier la vente aux industriels?</t>
  </si>
  <si>
    <t>Prise en compte d'une évolution du prix dans le business model nécessaire</t>
  </si>
  <si>
    <t>Complexité business: fournisseurs + clients à trouver; gestion stocks</t>
  </si>
  <si>
    <t>Business de service de transformation avec décortiqueuse</t>
  </si>
  <si>
    <t>Business mixte production avec décortiqueuse et service</t>
  </si>
  <si>
    <t>Aucun (producteur reste propriétaire d'arachide)</t>
  </si>
  <si>
    <t>Service de pressage d'huile</t>
  </si>
  <si>
    <t>23,5 T</t>
  </si>
  <si>
    <t xml:space="preserve"> </t>
  </si>
  <si>
    <t>16,8 T</t>
  </si>
  <si>
    <t>Prix prestation min</t>
  </si>
  <si>
    <t>Grande incertitude sur la durée de fonctionnement de la machine relatif</t>
  </si>
  <si>
    <t>à l'imprévisibilité de l'apport en graines</t>
  </si>
  <si>
    <r>
      <t xml:space="preserve">(1) La </t>
    </r>
    <r>
      <rPr>
        <b/>
        <sz val="12"/>
        <color theme="1"/>
        <rFont val="Calibri"/>
        <family val="2"/>
        <scheme val="minor"/>
      </rPr>
      <t>décortiqueuse semble clé</t>
    </r>
    <r>
      <rPr>
        <sz val="12"/>
        <color theme="1"/>
        <rFont val="Calibri"/>
        <family val="2"/>
        <scheme val="minor"/>
      </rPr>
      <t xml:space="preserve"> pour permettre d'obtenir un projet rentable dans la durée, car elle permet d'augmenter la marge sur l'huile vendue</t>
    </r>
  </si>
  <si>
    <r>
      <t xml:space="preserve">(2) Choisir </t>
    </r>
    <r>
      <rPr>
        <b/>
        <sz val="12"/>
        <color theme="1"/>
        <rFont val="Calibri"/>
        <family val="2"/>
        <scheme val="minor"/>
      </rPr>
      <t>2 pilotes complémentaires</t>
    </r>
    <r>
      <rPr>
        <sz val="12"/>
        <color theme="1"/>
        <rFont val="Calibri"/>
        <family val="2"/>
        <scheme val="minor"/>
      </rPr>
      <t>:</t>
    </r>
  </si>
  <si>
    <t>a. Un pilote avec un modèle d'exploitation plus "simple" de type "service de transformation" (modèle 3 ou 4) avec des chances de réussite plus élevées</t>
  </si>
  <si>
    <t>b. Un pilote avec un modèle d'exploitation complexe (modèle 1 ou 2) qui sera un pilote plus risqué</t>
  </si>
  <si>
    <r>
      <t xml:space="preserve">(3) Choisir comme cible des </t>
    </r>
    <r>
      <rPr>
        <b/>
        <sz val="12"/>
        <color theme="1"/>
        <rFont val="Calibri"/>
        <family val="2"/>
        <scheme val="minor"/>
      </rPr>
      <t>producteurs déjà impliqués dans la transformation de l'arachide en huile</t>
    </r>
    <r>
      <rPr>
        <sz val="12"/>
        <color theme="1"/>
        <rFont val="Calibri"/>
        <family val="2"/>
        <scheme val="minor"/>
      </rPr>
      <t xml:space="preserve"> afin de simplifier l'approche business et augmenter les chancs de réussite du projet</t>
    </r>
  </si>
  <si>
    <r>
      <t xml:space="preserve">(4) Dans le cas d'un pilote complexe avec achat de l'arachide aux producteurs, favoriser un </t>
    </r>
    <r>
      <rPr>
        <b/>
        <sz val="12"/>
        <color theme="1"/>
        <rFont val="Calibri"/>
        <family val="2"/>
        <scheme val="minor"/>
      </rPr>
      <t>modèle tout intégré avec système de décortication solaire</t>
    </r>
    <r>
      <rPr>
        <sz val="12"/>
        <color theme="1"/>
        <rFont val="Calibri"/>
        <family val="2"/>
        <scheme val="minor"/>
      </rPr>
      <t>, qui permettra de générer un revenu marginal plus élevé</t>
    </r>
  </si>
  <si>
    <t>(5) La performance du projet étant très dépendante de la productivité de la machine, l'entretien sera primordial pour limiter les pannes et arrêts de production: mettre en place un système d'épargne des amortissements</t>
  </si>
  <si>
    <t>pour financer les éventuels travaux. Ce système pourra être géré par un organisme partenaire (commune ou ONG locale).</t>
  </si>
  <si>
    <t xml:space="preserve">Dimmensionnement optimisé </t>
  </si>
  <si>
    <t>Dimmensionnement réel</t>
  </si>
  <si>
    <t>designation</t>
  </si>
  <si>
    <t>prix</t>
  </si>
  <si>
    <t>nombre</t>
  </si>
  <si>
    <t>parafoudre</t>
  </si>
  <si>
    <t>local</t>
  </si>
  <si>
    <t>Filtre huile</t>
  </si>
  <si>
    <t>Support modules</t>
  </si>
  <si>
    <t>Equipements facultatifs/facultatifs</t>
  </si>
  <si>
    <t>Puissance equipements max</t>
  </si>
  <si>
    <t>Batteries OPZS 1220 (Ah)</t>
  </si>
  <si>
    <t xml:space="preserve">Victron </t>
  </si>
  <si>
    <t>100_50</t>
  </si>
  <si>
    <t>150_35</t>
  </si>
  <si>
    <t>tension(V)_courant(A)</t>
  </si>
  <si>
    <t>150_45</t>
  </si>
  <si>
    <t>victron</t>
  </si>
  <si>
    <t>module polycristatllin 270 Wc</t>
  </si>
  <si>
    <t>Victron quatro 5 kW</t>
  </si>
  <si>
    <t>Recettes mensuelles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</si>
</sst>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1" formatCode="_-* #,##0_-;\-* #,##0_-;_-* &quot;-&quot;_-;_-@_-"/>
    <numFmt numFmtId="164" formatCode="_-* #,##0\ _€_-;\-* #,##0\ _€_-;_-* &quot;-&quot;\ _€_-;_-@_-"/>
    <numFmt numFmtId="165" formatCode="_-* #,##0.00\ _€_-;\-* #,##0.00\ _€_-;_-* &quot;-&quot;??\ _€_-;_-@_-"/>
    <numFmt numFmtId="166" formatCode="0.0"/>
    <numFmt numFmtId="167" formatCode="0.0000"/>
    <numFmt numFmtId="168" formatCode="_-* #,##0.00\ _€_-;\-* #,##0.00\ _€_-;_-* &quot;-&quot;\ _€_-;_-@_-"/>
    <numFmt numFmtId="169" formatCode="_-* #,##0\ _€_-;\-* #,##0\ _€_-;_-* &quot;-&quot;??\ _€_-;_-@_-"/>
    <numFmt numFmtId="170" formatCode="0.0%"/>
    <numFmt numFmtId="172" formatCode="_ * #,##0_ [$CFA-488]_ ;_ * \-#,##0\ [$CFA-488]_ ;_ * &quot;-&quot;_ [$CFA-488]_ ;_ @_ "/>
    <numFmt numFmtId="173" formatCode="0.000"/>
    <numFmt numFmtId="174" formatCode="#,##0_ ;\-#,##0\ "/>
    <numFmt numFmtId="176" formatCode="_-* #,##0.000\ _€_-;\-* #,##0.000\ _€_-;_-* &quot;-&quot;\ _€_-;_-@_-"/>
    <numFmt numFmtId="177" formatCode="_-* #,##0\ _C_F_A_-;\-* #,##0\ _C_F_A_-;_-* &quot;-&quot;\ _C_F_A_-;_-@_-"/>
  </numFmts>
  <fonts count="43" x14ac:knownFonts="1">
    <font>
      <sz val="12"/>
      <color theme="1"/>
      <name val="Calibri"/>
      <family val="2"/>
      <scheme val="minor"/>
    </font>
    <font>
      <sz val="12"/>
      <color theme="1"/>
      <name val="Calibri"/>
      <family val="2"/>
      <scheme val="minor"/>
    </font>
    <font>
      <b/>
      <sz val="12"/>
      <color theme="0"/>
      <name val="Calibri"/>
      <family val="2"/>
      <scheme val="minor"/>
    </font>
    <font>
      <b/>
      <sz val="12"/>
      <color theme="1"/>
      <name val="Calibri"/>
      <family val="2"/>
      <scheme val="minor"/>
    </font>
    <font>
      <sz val="12"/>
      <color theme="0"/>
      <name val="Calibri"/>
      <family val="2"/>
      <scheme val="minor"/>
    </font>
    <font>
      <sz val="12"/>
      <color theme="1"/>
      <name val="Times New Roman"/>
      <family val="1"/>
    </font>
    <font>
      <b/>
      <i/>
      <sz val="16"/>
      <color theme="0"/>
      <name val="Calibri"/>
      <family val="2"/>
      <scheme val="minor"/>
    </font>
    <font>
      <b/>
      <sz val="12"/>
      <color theme="1"/>
      <name val="Times New Roman"/>
      <family val="1"/>
    </font>
    <font>
      <b/>
      <sz val="13"/>
      <color theme="1"/>
      <name val="Times New Roman"/>
      <family val="1"/>
    </font>
    <font>
      <sz val="12"/>
      <color rgb="FF000000"/>
      <name val="Times New Roman"/>
      <family val="1"/>
    </font>
    <font>
      <i/>
      <sz val="12"/>
      <color theme="1"/>
      <name val="Calibri"/>
      <family val="2"/>
      <scheme val="minor"/>
    </font>
    <font>
      <b/>
      <sz val="12"/>
      <color rgb="FF000000"/>
      <name val="Calibri"/>
      <family val="2"/>
      <scheme val="minor"/>
    </font>
    <font>
      <sz val="12"/>
      <color rgb="FF000000"/>
      <name val="Calibri"/>
      <family val="2"/>
      <scheme val="minor"/>
    </font>
    <font>
      <sz val="12"/>
      <name val="Calibri"/>
      <family val="2"/>
      <scheme val="minor"/>
    </font>
    <font>
      <b/>
      <sz val="12"/>
      <name val="Calibri"/>
      <family val="2"/>
      <scheme val="minor"/>
    </font>
    <font>
      <sz val="9"/>
      <color theme="1"/>
      <name val="Calibri"/>
      <family val="2"/>
      <scheme val="minor"/>
    </font>
    <font>
      <i/>
      <sz val="12"/>
      <color rgb="FF000000"/>
      <name val="Calibri"/>
      <family val="2"/>
      <scheme val="minor"/>
    </font>
    <font>
      <b/>
      <sz val="13"/>
      <color theme="1"/>
      <name val="Calibri"/>
      <family val="2"/>
      <scheme val="minor"/>
    </font>
    <font>
      <i/>
      <sz val="10"/>
      <color theme="1"/>
      <name val="Calibri"/>
      <family val="2"/>
      <scheme val="minor"/>
    </font>
    <font>
      <sz val="14"/>
      <color theme="0"/>
      <name val="Calibri"/>
      <family val="2"/>
      <scheme val="minor"/>
    </font>
    <font>
      <b/>
      <sz val="14"/>
      <name val="Calibri"/>
      <family val="2"/>
      <scheme val="minor"/>
    </font>
    <font>
      <u/>
      <sz val="12"/>
      <color theme="10"/>
      <name val="Calibri"/>
      <family val="2"/>
      <scheme val="minor"/>
    </font>
    <font>
      <u/>
      <sz val="12"/>
      <color theme="11"/>
      <name val="Calibri"/>
      <family val="2"/>
      <scheme val="minor"/>
    </font>
    <font>
      <b/>
      <i/>
      <sz val="12"/>
      <color theme="1"/>
      <name val="Calibri"/>
      <family val="2"/>
      <scheme val="minor"/>
    </font>
    <font>
      <sz val="12"/>
      <color theme="2" tint="-0.249977111117893"/>
      <name val="Calibri"/>
      <family val="2"/>
      <scheme val="minor"/>
    </font>
    <font>
      <b/>
      <sz val="14"/>
      <color theme="1"/>
      <name val="Calibri"/>
      <family val="2"/>
      <scheme val="minor"/>
    </font>
    <font>
      <b/>
      <sz val="24"/>
      <color theme="1"/>
      <name val="Calibri"/>
      <family val="2"/>
      <scheme val="minor"/>
    </font>
    <font>
      <i/>
      <sz val="16"/>
      <color theme="1"/>
      <name val="Calibri"/>
      <family val="2"/>
      <scheme val="minor"/>
    </font>
    <font>
      <i/>
      <sz val="12"/>
      <color rgb="FFFF0000"/>
      <name val="Calibri"/>
      <family val="2"/>
      <scheme val="minor"/>
    </font>
    <font>
      <i/>
      <u/>
      <sz val="12"/>
      <color rgb="FFFF0000"/>
      <name val="Calibri"/>
      <family val="2"/>
      <scheme val="minor"/>
    </font>
    <font>
      <b/>
      <i/>
      <sz val="12"/>
      <color rgb="FF3366FF"/>
      <name val="Calibri"/>
      <family val="2"/>
      <scheme val="minor"/>
    </font>
    <font>
      <u/>
      <sz val="12"/>
      <color theme="1"/>
      <name val="Calibri"/>
      <family val="2"/>
      <scheme val="minor"/>
    </font>
    <font>
      <b/>
      <u/>
      <sz val="12"/>
      <color theme="1"/>
      <name val="Calibri"/>
      <family val="2"/>
      <scheme val="minor"/>
    </font>
    <font>
      <b/>
      <sz val="14"/>
      <color rgb="FFFF0000"/>
      <name val="Calibri"/>
      <family val="2"/>
      <scheme val="minor"/>
    </font>
    <font>
      <sz val="20"/>
      <color theme="1"/>
      <name val="Calibri"/>
      <family val="2"/>
      <scheme val="minor"/>
    </font>
    <font>
      <sz val="13"/>
      <color theme="1"/>
      <name val="Times New Roman"/>
      <family val="1"/>
    </font>
    <font>
      <sz val="12"/>
      <color theme="1"/>
      <name val="Arial"/>
      <family val="2"/>
    </font>
    <font>
      <b/>
      <sz val="14"/>
      <color theme="1"/>
      <name val="Times New Roman"/>
      <family val="1"/>
    </font>
    <font>
      <b/>
      <sz val="14"/>
      <color theme="0"/>
      <name val="Calibri"/>
      <family val="2"/>
    </font>
    <font>
      <b/>
      <sz val="12"/>
      <color rgb="FF000000"/>
      <name val="Times New Roman"/>
      <family val="1"/>
    </font>
    <font>
      <b/>
      <sz val="11"/>
      <color theme="1"/>
      <name val="Times New Roman"/>
      <family val="1"/>
    </font>
    <font>
      <sz val="11"/>
      <color theme="1"/>
      <name val="Times New Roman"/>
      <family val="1"/>
    </font>
    <font>
      <b/>
      <sz val="11"/>
      <color rgb="FF000000"/>
      <name val="Times New Roman"/>
      <family val="1"/>
    </font>
  </fonts>
  <fills count="17">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0" tint="-0.34998626667073579"/>
        <bgColor indexed="64"/>
      </patternFill>
    </fill>
    <fill>
      <patternFill patternType="solid">
        <fgColor theme="2" tint="-0.249977111117893"/>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8" tint="-0.249977111117893"/>
        <bgColor theme="0"/>
      </patternFill>
    </fill>
    <fill>
      <patternFill patternType="solid">
        <fgColor theme="0"/>
        <bgColor theme="0"/>
      </patternFill>
    </fill>
    <fill>
      <patternFill patternType="solid">
        <fgColor theme="0" tint="-0.249977111117893"/>
        <bgColor indexed="64"/>
      </patternFill>
    </fill>
  </fills>
  <borders count="25">
    <border>
      <left/>
      <right/>
      <top/>
      <bottom/>
      <diagonal/>
    </border>
    <border>
      <left style="medium">
        <color auto="1"/>
      </left>
      <right style="medium">
        <color auto="1"/>
      </right>
      <top style="medium">
        <color auto="1"/>
      </top>
      <bottom style="medium">
        <color auto="1"/>
      </bottom>
      <diagonal/>
    </border>
    <border>
      <left/>
      <right/>
      <top/>
      <bottom style="thin">
        <color auto="1"/>
      </bottom>
      <diagonal/>
    </border>
    <border>
      <left style="medium">
        <color auto="1"/>
      </left>
      <right style="medium">
        <color auto="1"/>
      </right>
      <top style="medium">
        <color auto="1"/>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style="medium">
        <color auto="1"/>
      </right>
      <top/>
      <bottom/>
      <diagonal/>
    </border>
    <border>
      <left style="medium">
        <color auto="1"/>
      </left>
      <right/>
      <top style="medium">
        <color auto="1"/>
      </top>
      <bottom/>
      <diagonal/>
    </border>
    <border>
      <left style="medium">
        <color auto="1"/>
      </left>
      <right style="medium">
        <color auto="1"/>
      </right>
      <top style="medium">
        <color auto="1"/>
      </top>
      <bottom style="medium">
        <color rgb="FF8DB3E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ck">
        <color auto="1"/>
      </left>
      <right style="thick">
        <color auto="1"/>
      </right>
      <top style="thick">
        <color auto="1"/>
      </top>
      <bottom style="thick">
        <color auto="1"/>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style="hair">
        <color auto="1"/>
      </left>
      <right style="hair">
        <color auto="1"/>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hair">
        <color auto="1"/>
      </bottom>
      <diagonal/>
    </border>
    <border>
      <left/>
      <right/>
      <top style="medium">
        <color auto="1"/>
      </top>
      <bottom style="medium">
        <color auto="1"/>
      </bottom>
      <diagonal/>
    </border>
    <border>
      <left style="thin">
        <color auto="1"/>
      </left>
      <right style="thin">
        <color auto="1"/>
      </right>
      <top style="thin">
        <color auto="1"/>
      </top>
      <bottom/>
      <diagonal/>
    </border>
  </borders>
  <cellStyleXfs count="532">
    <xf numFmtId="0" fontId="0" fillId="0" borderId="0"/>
    <xf numFmtId="9" fontId="1" fillId="0" borderId="0" applyFon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41" fontId="1" fillId="0" borderId="0" applyFont="0" applyFill="0" applyBorder="0" applyAlignment="0" applyProtection="0"/>
    <xf numFmtId="0" fontId="36" fillId="0" borderId="0"/>
    <xf numFmtId="9" fontId="36" fillId="0" borderId="0" applyFont="0" applyFill="0" applyBorder="0" applyAlignment="0" applyProtection="0"/>
    <xf numFmtId="177" fontId="36" fillId="0" borderId="0" applyFont="0" applyFill="0" applyBorder="0" applyAlignment="0" applyProtection="0"/>
  </cellStyleXfs>
  <cellXfs count="283">
    <xf numFmtId="0" fontId="0" fillId="0" borderId="0" xfId="0"/>
    <xf numFmtId="0" fontId="0" fillId="2" borderId="0" xfId="0" applyFill="1"/>
    <xf numFmtId="0" fontId="0" fillId="2" borderId="0" xfId="0" applyFill="1" applyAlignment="1">
      <alignment horizontal="right"/>
    </xf>
    <xf numFmtId="2" fontId="5" fillId="3" borderId="1" xfId="0" applyNumberFormat="1" applyFont="1" applyFill="1" applyBorder="1" applyAlignment="1">
      <alignment horizontal="right" vertical="center" wrapText="1"/>
    </xf>
    <xf numFmtId="2" fontId="5" fillId="4" borderId="1" xfId="0" applyNumberFormat="1" applyFont="1" applyFill="1" applyBorder="1" applyAlignment="1">
      <alignment horizontal="right" vertical="center" wrapText="1"/>
    </xf>
    <xf numFmtId="2" fontId="5" fillId="5" borderId="1" xfId="0" applyNumberFormat="1" applyFont="1" applyFill="1" applyBorder="1" applyAlignment="1">
      <alignment horizontal="right" vertical="center" wrapText="1"/>
    </xf>
    <xf numFmtId="2" fontId="5" fillId="6" borderId="1" xfId="0" applyNumberFormat="1" applyFont="1" applyFill="1" applyBorder="1" applyAlignment="1">
      <alignment horizontal="right" vertical="center" wrapText="1"/>
    </xf>
    <xf numFmtId="0" fontId="6" fillId="7" borderId="2" xfId="0" applyFont="1" applyFill="1" applyBorder="1"/>
    <xf numFmtId="0" fontId="2" fillId="7" borderId="2" xfId="0" applyFont="1" applyFill="1" applyBorder="1"/>
    <xf numFmtId="0" fontId="5" fillId="0" borderId="7" xfId="0" applyFont="1" applyBorder="1" applyAlignment="1">
      <alignment horizontal="center" vertical="center" wrapText="1"/>
    </xf>
    <xf numFmtId="166" fontId="8" fillId="0" borderId="1" xfId="0" applyNumberFormat="1" applyFont="1" applyBorder="1" applyAlignment="1">
      <alignment horizontal="right" vertical="center" wrapText="1"/>
    </xf>
    <xf numFmtId="166" fontId="5" fillId="0" borderId="1" xfId="0" applyNumberFormat="1" applyFont="1" applyBorder="1" applyAlignment="1">
      <alignment horizontal="right" vertical="center" wrapText="1"/>
    </xf>
    <xf numFmtId="2" fontId="5" fillId="4" borderId="7" xfId="0" applyNumberFormat="1" applyFont="1" applyFill="1" applyBorder="1" applyAlignment="1">
      <alignment horizontal="right" vertical="center" wrapText="1"/>
    </xf>
    <xf numFmtId="166" fontId="5" fillId="5" borderId="7" xfId="0" applyNumberFormat="1" applyFont="1" applyFill="1" applyBorder="1" applyAlignment="1">
      <alignment horizontal="right" vertical="center" wrapText="1"/>
    </xf>
    <xf numFmtId="0" fontId="3" fillId="2" borderId="0" xfId="0" applyFont="1" applyFill="1"/>
    <xf numFmtId="9" fontId="0" fillId="4" borderId="6" xfId="0" applyNumberFormat="1" applyFill="1" applyBorder="1" applyAlignment="1">
      <alignment horizontal="left"/>
    </xf>
    <xf numFmtId="164" fontId="3" fillId="6" borderId="1" xfId="0" applyNumberFormat="1" applyFont="1" applyFill="1" applyBorder="1"/>
    <xf numFmtId="164" fontId="3" fillId="2" borderId="0" xfId="0" applyNumberFormat="1" applyFont="1" applyFill="1" applyBorder="1"/>
    <xf numFmtId="0" fontId="4" fillId="7" borderId="0" xfId="0" applyFont="1" applyFill="1"/>
    <xf numFmtId="164" fontId="2" fillId="7" borderId="0" xfId="0" applyNumberFormat="1" applyFont="1" applyFill="1" applyBorder="1"/>
    <xf numFmtId="0" fontId="6" fillId="2" borderId="0" xfId="0" applyFont="1" applyFill="1" applyBorder="1"/>
    <xf numFmtId="0" fontId="4" fillId="2" borderId="0" xfId="0" applyFont="1" applyFill="1"/>
    <xf numFmtId="164" fontId="2" fillId="2" borderId="0" xfId="0" applyNumberFormat="1" applyFont="1" applyFill="1" applyBorder="1"/>
    <xf numFmtId="0" fontId="10" fillId="0" borderId="0" xfId="0" applyFont="1"/>
    <xf numFmtId="0" fontId="11" fillId="8" borderId="1" xfId="0" applyFont="1" applyFill="1" applyBorder="1" applyAlignment="1">
      <alignment horizontal="justify" vertical="center"/>
    </xf>
    <xf numFmtId="9" fontId="0" fillId="4" borderId="1" xfId="0" applyNumberFormat="1" applyFill="1" applyBorder="1" applyAlignment="1">
      <alignment horizontal="right"/>
    </xf>
    <xf numFmtId="0" fontId="12" fillId="9" borderId="6" xfId="0" applyFont="1" applyFill="1" applyBorder="1" applyAlignment="1">
      <alignment horizontal="justify" vertical="center"/>
    </xf>
    <xf numFmtId="164" fontId="0" fillId="6" borderId="7" xfId="0" applyNumberFormat="1" applyFont="1" applyFill="1" applyBorder="1" applyAlignment="1">
      <alignment horizontal="center" vertical="center"/>
    </xf>
    <xf numFmtId="164" fontId="0" fillId="3" borderId="7" xfId="0" applyNumberFormat="1" applyFont="1" applyFill="1" applyBorder="1" applyAlignment="1">
      <alignment horizontal="center" vertical="center"/>
    </xf>
    <xf numFmtId="0" fontId="13" fillId="9" borderId="1" xfId="0" applyFont="1" applyFill="1" applyBorder="1" applyAlignment="1">
      <alignment horizontal="justify" vertical="center"/>
    </xf>
    <xf numFmtId="0" fontId="11" fillId="0" borderId="1" xfId="0" applyFont="1" applyBorder="1" applyAlignment="1">
      <alignment horizontal="justify" vertical="center"/>
    </xf>
    <xf numFmtId="164" fontId="3" fillId="5" borderId="1" xfId="0" applyNumberFormat="1" applyFont="1" applyFill="1" applyBorder="1"/>
    <xf numFmtId="164" fontId="3" fillId="5" borderId="5" xfId="0" applyNumberFormat="1" applyFont="1" applyFill="1" applyBorder="1"/>
    <xf numFmtId="164" fontId="3" fillId="6" borderId="5" xfId="0" applyNumberFormat="1" applyFont="1" applyFill="1" applyBorder="1"/>
    <xf numFmtId="0" fontId="10" fillId="2" borderId="0" xfId="0" applyFont="1" applyFill="1"/>
    <xf numFmtId="0" fontId="0" fillId="2" borderId="0" xfId="0" applyFill="1" applyAlignment="1">
      <alignment wrapText="1"/>
    </xf>
    <xf numFmtId="0" fontId="11" fillId="8" borderId="1" xfId="0" applyFont="1" applyFill="1" applyBorder="1" applyAlignment="1">
      <alignment horizontal="center" vertical="center" wrapText="1"/>
    </xf>
    <xf numFmtId="0" fontId="3" fillId="8" borderId="5" xfId="0" applyFont="1" applyFill="1" applyBorder="1" applyAlignment="1">
      <alignment horizontal="center" vertical="center" wrapText="1"/>
    </xf>
    <xf numFmtId="0" fontId="0" fillId="0" borderId="0" xfId="0" applyAlignment="1">
      <alignment wrapText="1"/>
    </xf>
    <xf numFmtId="0" fontId="12" fillId="0" borderId="6" xfId="0" applyFont="1" applyBorder="1" applyAlignment="1">
      <alignment vertical="center"/>
    </xf>
    <xf numFmtId="164" fontId="0" fillId="6" borderId="7" xfId="0" applyNumberFormat="1" applyFont="1" applyFill="1" applyBorder="1" applyAlignment="1">
      <alignment horizontal="right" vertical="center"/>
    </xf>
    <xf numFmtId="164" fontId="0" fillId="6" borderId="7" xfId="0" applyNumberFormat="1" applyFont="1" applyFill="1" applyBorder="1" applyAlignment="1">
      <alignment horizontal="center" vertical="center" wrapText="1"/>
    </xf>
    <xf numFmtId="0" fontId="12" fillId="0" borderId="1" xfId="0" applyFont="1" applyBorder="1" applyAlignment="1">
      <alignment vertical="center"/>
    </xf>
    <xf numFmtId="0" fontId="3" fillId="0" borderId="6" xfId="0" applyFont="1" applyBorder="1" applyAlignment="1">
      <alignment vertical="center"/>
    </xf>
    <xf numFmtId="0" fontId="0" fillId="5" borderId="7" xfId="0" applyFont="1" applyFill="1" applyBorder="1"/>
    <xf numFmtId="164" fontId="3" fillId="6" borderId="7" xfId="0" applyNumberFormat="1" applyFont="1" applyFill="1" applyBorder="1" applyAlignment="1">
      <alignment horizontal="right" vertical="center"/>
    </xf>
    <xf numFmtId="164" fontId="14" fillId="6" borderId="7" xfId="0" applyNumberFormat="1" applyFont="1" applyFill="1" applyBorder="1" applyAlignment="1">
      <alignment horizontal="right" vertical="center"/>
    </xf>
    <xf numFmtId="0" fontId="11" fillId="8" borderId="9" xfId="0" applyFont="1" applyFill="1" applyBorder="1" applyAlignment="1">
      <alignment horizontal="justify" vertical="center" wrapText="1"/>
    </xf>
    <xf numFmtId="0" fontId="11" fillId="8" borderId="5" xfId="0" applyFont="1" applyFill="1" applyBorder="1" applyAlignment="1">
      <alignment horizontal="right" vertical="center"/>
    </xf>
    <xf numFmtId="0" fontId="12" fillId="0" borderId="1" xfId="0" applyFont="1" applyBorder="1" applyAlignment="1">
      <alignment horizontal="justify" vertical="center"/>
    </xf>
    <xf numFmtId="164" fontId="12" fillId="6" borderId="7" xfId="0" applyNumberFormat="1" applyFont="1" applyFill="1" applyBorder="1" applyAlignment="1">
      <alignment horizontal="center" vertical="center"/>
    </xf>
    <xf numFmtId="164" fontId="12" fillId="3" borderId="7" xfId="0" applyNumberFormat="1" applyFont="1" applyFill="1" applyBorder="1" applyAlignment="1">
      <alignment horizontal="center" vertical="center"/>
    </xf>
    <xf numFmtId="164" fontId="12" fillId="6" borderId="7" xfId="0" applyNumberFormat="1" applyFont="1" applyFill="1" applyBorder="1" applyAlignment="1">
      <alignment horizontal="right" vertical="center"/>
    </xf>
    <xf numFmtId="0" fontId="12" fillId="0" borderId="6" xfId="0" applyFont="1" applyBorder="1" applyAlignment="1">
      <alignment horizontal="justify" vertical="center"/>
    </xf>
    <xf numFmtId="0" fontId="3" fillId="0" borderId="6" xfId="0" applyFont="1" applyBorder="1" applyAlignment="1">
      <alignment horizontal="justify" vertical="center"/>
    </xf>
    <xf numFmtId="164" fontId="0" fillId="5" borderId="7" xfId="0" applyNumberFormat="1" applyFont="1" applyFill="1" applyBorder="1"/>
    <xf numFmtId="0" fontId="15" fillId="2" borderId="0" xfId="0" applyFont="1" applyFill="1" applyAlignment="1">
      <alignment vertical="center"/>
    </xf>
    <xf numFmtId="0" fontId="16" fillId="2" borderId="0" xfId="0" applyFont="1" applyFill="1" applyBorder="1" applyAlignment="1">
      <alignment vertical="center"/>
    </xf>
    <xf numFmtId="164" fontId="0" fillId="5" borderId="7" xfId="0" applyNumberFormat="1" applyFont="1" applyFill="1" applyBorder="1" applyAlignment="1">
      <alignment horizontal="center" vertical="center"/>
    </xf>
    <xf numFmtId="164" fontId="0" fillId="5" borderId="7" xfId="0" applyNumberFormat="1" applyFont="1" applyFill="1" applyBorder="1" applyAlignment="1">
      <alignment horizontal="right" vertical="center"/>
    </xf>
    <xf numFmtId="0" fontId="12" fillId="2" borderId="0" xfId="0" applyFont="1" applyFill="1" applyBorder="1" applyAlignment="1">
      <alignment vertical="center"/>
    </xf>
    <xf numFmtId="164" fontId="0" fillId="6" borderId="1" xfId="0" applyNumberFormat="1" applyFill="1" applyBorder="1" applyAlignment="1">
      <alignment horizontal="right"/>
    </xf>
    <xf numFmtId="0" fontId="17" fillId="2" borderId="0" xfId="0" applyFont="1" applyFill="1"/>
    <xf numFmtId="164" fontId="17" fillId="6" borderId="1" xfId="0" applyNumberFormat="1" applyFont="1" applyFill="1" applyBorder="1" applyAlignment="1">
      <alignment horizontal="right"/>
    </xf>
    <xf numFmtId="0" fontId="11" fillId="8" borderId="1" xfId="0" applyFont="1" applyFill="1" applyBorder="1" applyAlignment="1">
      <alignment horizontal="justify" vertical="center" wrapText="1"/>
    </xf>
    <xf numFmtId="0" fontId="3" fillId="8" borderId="1" xfId="0" applyFont="1" applyFill="1" applyBorder="1" applyAlignment="1">
      <alignment horizontal="center" vertical="center" wrapText="1"/>
    </xf>
    <xf numFmtId="0" fontId="12" fillId="0" borderId="6" xfId="0" applyFont="1" applyBorder="1" applyAlignment="1">
      <alignment horizontal="justify" vertical="center" wrapText="1"/>
    </xf>
    <xf numFmtId="0" fontId="12" fillId="5" borderId="7" xfId="0" applyFont="1" applyFill="1" applyBorder="1" applyAlignment="1">
      <alignment horizontal="justify" vertical="center" wrapText="1"/>
    </xf>
    <xf numFmtId="0" fontId="3" fillId="6" borderId="6" xfId="0" applyFont="1" applyFill="1" applyBorder="1" applyAlignment="1">
      <alignment horizontal="center" vertical="center"/>
    </xf>
    <xf numFmtId="0" fontId="12" fillId="5" borderId="6" xfId="0" applyFont="1" applyFill="1" applyBorder="1" applyAlignment="1">
      <alignment horizontal="justify" vertical="center"/>
    </xf>
    <xf numFmtId="164" fontId="12" fillId="6" borderId="6" xfId="0" applyNumberFormat="1" applyFont="1" applyFill="1" applyBorder="1" applyAlignment="1">
      <alignment horizontal="right" vertical="center"/>
    </xf>
    <xf numFmtId="0" fontId="3" fillId="5" borderId="6" xfId="0" applyFont="1" applyFill="1" applyBorder="1" applyAlignment="1">
      <alignment horizontal="justify" vertical="center"/>
    </xf>
    <xf numFmtId="164" fontId="3" fillId="6" borderId="6" xfId="0" applyNumberFormat="1" applyFont="1" applyFill="1" applyBorder="1" applyAlignment="1">
      <alignment horizontal="right" vertical="center"/>
    </xf>
    <xf numFmtId="0" fontId="0" fillId="0" borderId="10" xfId="0" applyFont="1" applyBorder="1" applyAlignment="1">
      <alignment horizontal="justify" vertical="center"/>
    </xf>
    <xf numFmtId="164" fontId="0" fillId="6" borderId="5" xfId="0" applyNumberFormat="1" applyFont="1" applyFill="1" applyBorder="1" applyAlignment="1">
      <alignment horizontal="right" vertical="center"/>
    </xf>
    <xf numFmtId="0" fontId="0" fillId="0" borderId="1" xfId="0" applyFont="1" applyBorder="1" applyAlignment="1">
      <alignment horizontal="justify" vertical="center"/>
    </xf>
    <xf numFmtId="0" fontId="0" fillId="7" borderId="0" xfId="0" applyFill="1"/>
    <xf numFmtId="0" fontId="14" fillId="8" borderId="1" xfId="0" applyFont="1" applyFill="1" applyBorder="1" applyAlignment="1">
      <alignment horizontal="justify" vertical="center"/>
    </xf>
    <xf numFmtId="0" fontId="13" fillId="0" borderId="6" xfId="0" applyFont="1" applyBorder="1" applyAlignment="1">
      <alignment horizontal="justify" vertical="center"/>
    </xf>
    <xf numFmtId="0" fontId="14" fillId="0" borderId="6" xfId="0" applyFont="1" applyBorder="1" applyAlignment="1">
      <alignment horizontal="justify" vertical="center"/>
    </xf>
    <xf numFmtId="0" fontId="0" fillId="0" borderId="11" xfId="0" applyBorder="1"/>
    <xf numFmtId="10" fontId="0" fillId="0" borderId="11" xfId="1" applyNumberFormat="1" applyFont="1" applyBorder="1"/>
    <xf numFmtId="164" fontId="0" fillId="0" borderId="11" xfId="0" applyNumberFormat="1" applyBorder="1"/>
    <xf numFmtId="0" fontId="0" fillId="5" borderId="11" xfId="0" applyFill="1" applyBorder="1"/>
    <xf numFmtId="164" fontId="0" fillId="5" borderId="11" xfId="0" applyNumberFormat="1" applyFill="1" applyBorder="1"/>
    <xf numFmtId="49" fontId="18" fillId="0" borderId="11" xfId="0" applyNumberFormat="1" applyFont="1" applyBorder="1"/>
    <xf numFmtId="0" fontId="0" fillId="0" borderId="0" xfId="0" applyBorder="1"/>
    <xf numFmtId="0" fontId="18" fillId="0" borderId="0" xfId="0" applyFont="1"/>
    <xf numFmtId="49" fontId="18" fillId="0" borderId="12" xfId="0" applyNumberFormat="1" applyFont="1" applyBorder="1"/>
    <xf numFmtId="0" fontId="0" fillId="0" borderId="13" xfId="0" applyBorder="1"/>
    <xf numFmtId="49" fontId="19" fillId="10" borderId="0" xfId="0" applyNumberFormat="1" applyFont="1" applyFill="1"/>
    <xf numFmtId="0" fontId="19" fillId="10" borderId="0" xfId="0" applyFont="1" applyFill="1"/>
    <xf numFmtId="0" fontId="0" fillId="10" borderId="0" xfId="0" applyFill="1"/>
    <xf numFmtId="0" fontId="20" fillId="5" borderId="0" xfId="0" applyFont="1" applyFill="1" applyAlignment="1">
      <alignment horizontal="center"/>
    </xf>
    <xf numFmtId="164" fontId="0" fillId="0" borderId="0" xfId="0" applyNumberFormat="1"/>
    <xf numFmtId="169" fontId="0" fillId="0" borderId="0" xfId="0" applyNumberFormat="1"/>
    <xf numFmtId="0" fontId="14" fillId="8" borderId="5" xfId="0" applyFont="1" applyFill="1" applyBorder="1" applyAlignment="1">
      <alignment horizontal="center" vertical="center"/>
    </xf>
    <xf numFmtId="9" fontId="0" fillId="2" borderId="0" xfId="0" applyNumberFormat="1" applyFill="1"/>
    <xf numFmtId="0" fontId="23" fillId="2" borderId="0" xfId="0" applyFont="1" applyFill="1" applyAlignment="1">
      <alignment horizontal="right"/>
    </xf>
    <xf numFmtId="0" fontId="24" fillId="11" borderId="0" xfId="0" applyFont="1" applyFill="1"/>
    <xf numFmtId="164" fontId="24" fillId="11" borderId="0" xfId="0" applyNumberFormat="1" applyFont="1" applyFill="1"/>
    <xf numFmtId="0" fontId="25" fillId="2" borderId="0" xfId="0" applyFont="1" applyFill="1" applyAlignment="1">
      <alignment horizontal="right"/>
    </xf>
    <xf numFmtId="164" fontId="14" fillId="6" borderId="7" xfId="0" applyNumberFormat="1" applyFont="1" applyFill="1" applyBorder="1" applyAlignment="1">
      <alignment vertical="center"/>
    </xf>
    <xf numFmtId="164" fontId="13" fillId="6" borderId="7" xfId="0" applyNumberFormat="1" applyFont="1" applyFill="1" applyBorder="1" applyAlignment="1">
      <alignment horizontal="right" vertical="center"/>
    </xf>
    <xf numFmtId="165" fontId="24" fillId="11" borderId="0" xfId="0" applyNumberFormat="1" applyFont="1" applyFill="1"/>
    <xf numFmtId="0" fontId="0" fillId="2" borderId="0" xfId="0" applyFont="1" applyFill="1"/>
    <xf numFmtId="164" fontId="13" fillId="6" borderId="7" xfId="0" applyNumberFormat="1" applyFont="1" applyFill="1" applyBorder="1" applyAlignment="1">
      <alignment vertical="center"/>
    </xf>
    <xf numFmtId="38" fontId="25" fillId="6" borderId="1" xfId="0" applyNumberFormat="1" applyFont="1" applyFill="1" applyBorder="1" applyAlignment="1">
      <alignment horizontal="right"/>
    </xf>
    <xf numFmtId="170" fontId="25" fillId="6" borderId="1" xfId="0" applyNumberFormat="1" applyFont="1" applyFill="1" applyBorder="1" applyAlignment="1">
      <alignment horizontal="right"/>
    </xf>
    <xf numFmtId="165" fontId="25" fillId="6" borderId="1" xfId="0" applyNumberFormat="1" applyFont="1" applyFill="1" applyBorder="1" applyAlignment="1">
      <alignment horizontal="right"/>
    </xf>
    <xf numFmtId="9" fontId="0" fillId="4" borderId="0" xfId="0" applyNumberFormat="1" applyFill="1" applyAlignment="1">
      <alignment horizontal="center"/>
    </xf>
    <xf numFmtId="0" fontId="0" fillId="4" borderId="0" xfId="0" applyFill="1" applyAlignment="1">
      <alignment horizontal="center"/>
    </xf>
    <xf numFmtId="0" fontId="0" fillId="2" borderId="0" xfId="0" applyFill="1" applyAlignment="1">
      <alignment horizontal="center"/>
    </xf>
    <xf numFmtId="164" fontId="0" fillId="4" borderId="7" xfId="0" applyNumberFormat="1" applyFont="1" applyFill="1" applyBorder="1" applyAlignment="1">
      <alignment horizontal="center" vertical="center"/>
    </xf>
    <xf numFmtId="164" fontId="0" fillId="4" borderId="7" xfId="0" applyNumberFormat="1" applyFont="1" applyFill="1" applyBorder="1" applyAlignment="1">
      <alignment horizontal="right" vertical="center"/>
    </xf>
    <xf numFmtId="164" fontId="0" fillId="4" borderId="1" xfId="0" applyNumberFormat="1" applyFont="1" applyFill="1" applyBorder="1" applyAlignment="1">
      <alignment horizontal="center" vertical="center"/>
    </xf>
    <xf numFmtId="164" fontId="13" fillId="4" borderId="5" xfId="0" applyNumberFormat="1" applyFont="1" applyFill="1" applyBorder="1" applyAlignment="1">
      <alignment horizontal="center" vertical="center"/>
    </xf>
    <xf numFmtId="2" fontId="8" fillId="4" borderId="7" xfId="0" applyNumberFormat="1" applyFont="1" applyFill="1" applyBorder="1" applyAlignment="1">
      <alignment horizontal="right" vertical="center" wrapText="1"/>
    </xf>
    <xf numFmtId="167" fontId="8" fillId="4" borderId="7" xfId="0" applyNumberFormat="1" applyFont="1" applyFill="1" applyBorder="1" applyAlignment="1">
      <alignment horizontal="right" vertical="center" wrapText="1"/>
    </xf>
    <xf numFmtId="164" fontId="9" fillId="4" borderId="7" xfId="0" applyNumberFormat="1" applyFont="1" applyFill="1" applyBorder="1" applyAlignment="1">
      <alignment horizontal="right" vertical="center" wrapText="1"/>
    </xf>
    <xf numFmtId="164" fontId="8" fillId="4" borderId="7" xfId="0" applyNumberFormat="1" applyFont="1" applyFill="1" applyBorder="1" applyAlignment="1">
      <alignment horizontal="right" vertical="center" wrapText="1"/>
    </xf>
    <xf numFmtId="9" fontId="0" fillId="4" borderId="7" xfId="0" applyNumberFormat="1" applyFont="1" applyFill="1" applyBorder="1" applyAlignment="1">
      <alignment horizontal="right" vertical="center"/>
    </xf>
    <xf numFmtId="164" fontId="0" fillId="0" borderId="7" xfId="0" applyNumberFormat="1" applyFont="1" applyFill="1" applyBorder="1" applyAlignment="1">
      <alignment horizontal="center" vertical="center"/>
    </xf>
    <xf numFmtId="10" fontId="3" fillId="4" borderId="5" xfId="0" applyNumberFormat="1" applyFont="1" applyFill="1" applyBorder="1" applyAlignment="1">
      <alignment horizontal="left" vertical="center"/>
    </xf>
    <xf numFmtId="0" fontId="3" fillId="4" borderId="6" xfId="0" applyFont="1" applyFill="1" applyBorder="1" applyAlignment="1">
      <alignment horizontal="left" vertical="center"/>
    </xf>
    <xf numFmtId="9" fontId="0" fillId="4" borderId="6" xfId="0" applyNumberFormat="1" applyFont="1" applyFill="1" applyBorder="1" applyAlignment="1">
      <alignment horizontal="right" vertical="center"/>
    </xf>
    <xf numFmtId="0" fontId="0" fillId="3" borderId="1" xfId="0" applyNumberFormat="1" applyFont="1" applyFill="1" applyBorder="1" applyAlignment="1">
      <alignment horizontal="left"/>
    </xf>
    <xf numFmtId="168" fontId="25" fillId="6" borderId="1" xfId="0" applyNumberFormat="1" applyFont="1" applyFill="1" applyBorder="1" applyAlignment="1">
      <alignment horizontal="right"/>
    </xf>
    <xf numFmtId="0" fontId="0" fillId="2" borderId="2" xfId="0" applyFill="1" applyBorder="1"/>
    <xf numFmtId="0" fontId="26" fillId="2" borderId="0" xfId="0" applyFont="1" applyFill="1"/>
    <xf numFmtId="0" fontId="27" fillId="2" borderId="2" xfId="0" applyFont="1" applyFill="1" applyBorder="1"/>
    <xf numFmtId="0" fontId="3" fillId="2" borderId="0" xfId="0" applyFont="1" applyFill="1" applyBorder="1"/>
    <xf numFmtId="0" fontId="0" fillId="2" borderId="0" xfId="0" applyFill="1" applyBorder="1"/>
    <xf numFmtId="0" fontId="10" fillId="2" borderId="0" xfId="0" applyFont="1" applyFill="1" applyBorder="1"/>
    <xf numFmtId="0" fontId="29" fillId="2" borderId="0" xfId="0" applyFont="1" applyFill="1" applyBorder="1"/>
    <xf numFmtId="0" fontId="28" fillId="2" borderId="0" xfId="0" applyFont="1" applyFill="1" applyBorder="1"/>
    <xf numFmtId="0" fontId="0" fillId="2" borderId="9" xfId="0" applyFill="1" applyBorder="1"/>
    <xf numFmtId="0" fontId="0" fillId="2" borderId="15" xfId="0" applyFill="1" applyBorder="1"/>
    <xf numFmtId="0" fontId="0" fillId="2" borderId="16" xfId="0" applyFill="1" applyBorder="1"/>
    <xf numFmtId="0" fontId="0" fillId="2" borderId="17" xfId="0" applyFill="1" applyBorder="1"/>
    <xf numFmtId="0" fontId="0" fillId="2" borderId="8" xfId="0" applyFill="1" applyBorder="1"/>
    <xf numFmtId="0" fontId="0" fillId="2" borderId="18" xfId="0" applyFill="1" applyBorder="1"/>
    <xf numFmtId="0" fontId="0" fillId="2" borderId="19" xfId="0" applyFill="1" applyBorder="1"/>
    <xf numFmtId="0" fontId="0" fillId="2" borderId="7" xfId="0" applyFill="1" applyBorder="1"/>
    <xf numFmtId="0" fontId="30" fillId="2" borderId="0" xfId="0" applyFont="1" applyFill="1" applyBorder="1"/>
    <xf numFmtId="0" fontId="0" fillId="2" borderId="0" xfId="0" applyFill="1" applyAlignment="1">
      <alignment horizontal="left"/>
    </xf>
    <xf numFmtId="0" fontId="0" fillId="2" borderId="15" xfId="0" applyFill="1" applyBorder="1" applyAlignment="1">
      <alignment horizontal="left"/>
    </xf>
    <xf numFmtId="0" fontId="0" fillId="2" borderId="0" xfId="0" applyFill="1" applyBorder="1" applyAlignment="1">
      <alignment horizontal="left"/>
    </xf>
    <xf numFmtId="0" fontId="28" fillId="2" borderId="0" xfId="0" applyFont="1" applyFill="1" applyBorder="1" applyAlignment="1">
      <alignment horizontal="left"/>
    </xf>
    <xf numFmtId="0" fontId="0" fillId="2" borderId="19" xfId="0" applyFill="1" applyBorder="1" applyAlignment="1">
      <alignment horizontal="left"/>
    </xf>
    <xf numFmtId="0" fontId="0" fillId="0" borderId="0" xfId="0" applyAlignment="1">
      <alignment horizontal="left"/>
    </xf>
    <xf numFmtId="0" fontId="0" fillId="2" borderId="21" xfId="0" applyFill="1" applyBorder="1" applyAlignment="1">
      <alignment vertical="top" wrapText="1"/>
    </xf>
    <xf numFmtId="0" fontId="10" fillId="2" borderId="21" xfId="0" applyFont="1" applyFill="1" applyBorder="1" applyAlignment="1">
      <alignment vertical="top" wrapText="1"/>
    </xf>
    <xf numFmtId="0" fontId="25" fillId="2" borderId="22" xfId="0" applyFont="1" applyFill="1" applyBorder="1" applyAlignment="1">
      <alignment horizontal="left" vertical="top"/>
    </xf>
    <xf numFmtId="0" fontId="0" fillId="0" borderId="0" xfId="0" applyFill="1"/>
    <xf numFmtId="0" fontId="33" fillId="0" borderId="0" xfId="0" applyFont="1" applyFill="1"/>
    <xf numFmtId="0" fontId="33" fillId="2" borderId="0" xfId="0" applyFont="1" applyFill="1" applyAlignment="1">
      <alignment vertical="top"/>
    </xf>
    <xf numFmtId="0" fontId="33" fillId="2" borderId="0" xfId="0" applyFont="1" applyFill="1"/>
    <xf numFmtId="0" fontId="0" fillId="2" borderId="2" xfId="0" applyFill="1" applyBorder="1" applyAlignment="1">
      <alignment horizontal="left"/>
    </xf>
    <xf numFmtId="0" fontId="25" fillId="2" borderId="0" xfId="0" applyFont="1" applyFill="1" applyAlignment="1">
      <alignment vertical="top"/>
    </xf>
    <xf numFmtId="0" fontId="34" fillId="2" borderId="2" xfId="0" applyFont="1" applyFill="1" applyBorder="1"/>
    <xf numFmtId="0" fontId="25" fillId="2" borderId="0" xfId="0" applyFont="1" applyFill="1"/>
    <xf numFmtId="0" fontId="7" fillId="5" borderId="1" xfId="0" applyFont="1" applyFill="1" applyBorder="1" applyAlignment="1">
      <alignment horizontal="center" vertical="center" wrapText="1"/>
    </xf>
    <xf numFmtId="173" fontId="8" fillId="4" borderId="7" xfId="0" applyNumberFormat="1" applyFont="1" applyFill="1" applyBorder="1" applyAlignment="1">
      <alignment horizontal="right" vertical="center" wrapText="1"/>
    </xf>
    <xf numFmtId="168" fontId="8" fillId="4" borderId="7" xfId="0" applyNumberFormat="1" applyFont="1" applyFill="1" applyBorder="1" applyAlignment="1">
      <alignment horizontal="right" vertical="center" wrapText="1"/>
    </xf>
    <xf numFmtId="1" fontId="8" fillId="4" borderId="7" xfId="0" applyNumberFormat="1" applyFont="1" applyFill="1" applyBorder="1" applyAlignment="1">
      <alignment horizontal="right" vertical="center" wrapText="1"/>
    </xf>
    <xf numFmtId="2" fontId="0" fillId="4" borderId="4" xfId="0" applyNumberFormat="1" applyFill="1" applyBorder="1" applyAlignment="1"/>
    <xf numFmtId="0" fontId="0" fillId="4" borderId="5" xfId="0" applyFill="1" applyBorder="1" applyAlignment="1"/>
    <xf numFmtId="0" fontId="0" fillId="2" borderId="23" xfId="0" applyFill="1" applyBorder="1" applyAlignment="1">
      <alignment horizontal="left"/>
    </xf>
    <xf numFmtId="0" fontId="0" fillId="4" borderId="1" xfId="0" applyFill="1" applyBorder="1" applyAlignment="1">
      <alignment horizontal="left"/>
    </xf>
    <xf numFmtId="0" fontId="0" fillId="4" borderId="5" xfId="0" applyFill="1" applyBorder="1" applyAlignment="1">
      <alignment horizontal="center"/>
    </xf>
    <xf numFmtId="166" fontId="35" fillId="0" borderId="1" xfId="0" applyNumberFormat="1" applyFont="1" applyBorder="1" applyAlignment="1">
      <alignment horizontal="right" vertical="center" wrapText="1"/>
    </xf>
    <xf numFmtId="164" fontId="0" fillId="6" borderId="1" xfId="0" applyNumberFormat="1" applyFont="1" applyFill="1" applyBorder="1" applyAlignment="1">
      <alignment horizontal="center" vertical="center"/>
    </xf>
    <xf numFmtId="164" fontId="0" fillId="6" borderId="1" xfId="0" applyNumberFormat="1" applyFont="1" applyFill="1" applyBorder="1" applyAlignment="1">
      <alignment horizontal="right" vertical="center"/>
    </xf>
    <xf numFmtId="0" fontId="3" fillId="0" borderId="1" xfId="0" applyFont="1" applyBorder="1" applyAlignment="1">
      <alignment horizontal="center"/>
    </xf>
    <xf numFmtId="0" fontId="0" fillId="0" borderId="1" xfId="0" applyBorder="1" applyAlignment="1">
      <alignment horizontal="center"/>
    </xf>
    <xf numFmtId="0" fontId="0" fillId="4" borderId="1" xfId="0" applyFill="1" applyBorder="1" applyAlignment="1">
      <alignment horizontal="center"/>
    </xf>
    <xf numFmtId="2" fontId="0" fillId="6" borderId="1" xfId="0" applyNumberFormat="1" applyFill="1" applyBorder="1" applyAlignment="1">
      <alignment horizontal="center"/>
    </xf>
    <xf numFmtId="0" fontId="0" fillId="4" borderId="0" xfId="0" applyFill="1" applyAlignment="1">
      <alignment horizontal="right"/>
    </xf>
    <xf numFmtId="0" fontId="10" fillId="4" borderId="0" xfId="0" applyFont="1" applyFill="1"/>
    <xf numFmtId="1" fontId="0" fillId="6" borderId="4" xfId="0" applyNumberFormat="1" applyFill="1" applyBorder="1" applyAlignment="1">
      <alignment horizontal="left"/>
    </xf>
    <xf numFmtId="2" fontId="0" fillId="6" borderId="5" xfId="0" applyNumberFormat="1" applyFill="1" applyBorder="1" applyAlignment="1"/>
    <xf numFmtId="9" fontId="0" fillId="2" borderId="0" xfId="0" applyNumberFormat="1" applyFont="1" applyFill="1" applyBorder="1" applyAlignment="1">
      <alignment horizontal="right"/>
    </xf>
    <xf numFmtId="9" fontId="0" fillId="4" borderId="4" xfId="0" applyNumberFormat="1" applyFont="1" applyFill="1" applyBorder="1" applyAlignment="1">
      <alignment horizontal="left"/>
    </xf>
    <xf numFmtId="0" fontId="10" fillId="2" borderId="0" xfId="0" applyFont="1" applyFill="1" applyBorder="1" applyAlignment="1">
      <alignment horizontal="right"/>
    </xf>
    <xf numFmtId="172" fontId="0" fillId="4" borderId="14" xfId="0" applyNumberFormat="1" applyFill="1" applyBorder="1" applyAlignment="1">
      <alignment horizontal="right"/>
    </xf>
    <xf numFmtId="174" fontId="0" fillId="4" borderId="14" xfId="0" applyNumberFormat="1" applyFill="1" applyBorder="1" applyAlignment="1">
      <alignment horizontal="right"/>
    </xf>
    <xf numFmtId="172" fontId="0" fillId="12" borderId="14" xfId="0" applyNumberFormat="1" applyFill="1" applyBorder="1" applyAlignment="1">
      <alignment horizontal="right"/>
    </xf>
    <xf numFmtId="174" fontId="0" fillId="12" borderId="14" xfId="0" applyNumberFormat="1" applyFill="1" applyBorder="1" applyAlignment="1">
      <alignment horizontal="right"/>
    </xf>
    <xf numFmtId="174" fontId="0" fillId="13" borderId="14" xfId="0" applyNumberFormat="1" applyFill="1" applyBorder="1" applyAlignment="1">
      <alignment horizontal="right"/>
    </xf>
    <xf numFmtId="172" fontId="0" fillId="13" borderId="14" xfId="0" applyNumberFormat="1" applyFill="1" applyBorder="1" applyAlignment="1">
      <alignment horizontal="right"/>
    </xf>
    <xf numFmtId="173" fontId="35" fillId="4" borderId="7" xfId="0" applyNumberFormat="1" applyFont="1" applyFill="1" applyBorder="1" applyAlignment="1">
      <alignment horizontal="right" vertical="center" wrapText="1"/>
    </xf>
    <xf numFmtId="15" fontId="7" fillId="5" borderId="1" xfId="0" applyNumberFormat="1" applyFont="1" applyFill="1" applyBorder="1" applyAlignment="1">
      <alignment horizontal="center" vertical="center" wrapText="1"/>
    </xf>
    <xf numFmtId="15" fontId="7" fillId="5" borderId="5" xfId="0" applyNumberFormat="1" applyFont="1" applyFill="1" applyBorder="1" applyAlignment="1">
      <alignment horizontal="center" vertical="center" wrapText="1"/>
    </xf>
    <xf numFmtId="9" fontId="0" fillId="2" borderId="0" xfId="0" applyNumberFormat="1" applyFill="1" applyAlignment="1">
      <alignment wrapText="1"/>
    </xf>
    <xf numFmtId="2" fontId="0" fillId="2" borderId="0" xfId="0" applyNumberFormat="1" applyFill="1"/>
    <xf numFmtId="0" fontId="18" fillId="2" borderId="0" xfId="0" applyFont="1" applyFill="1"/>
    <xf numFmtId="9" fontId="0" fillId="4" borderId="4" xfId="0" applyNumberFormat="1" applyFill="1" applyBorder="1" applyAlignment="1">
      <alignment horizontal="left"/>
    </xf>
    <xf numFmtId="2" fontId="0" fillId="4" borderId="5" xfId="0" applyNumberFormat="1" applyFill="1" applyBorder="1" applyAlignment="1">
      <alignment horizontal="left"/>
    </xf>
    <xf numFmtId="9" fontId="0" fillId="6" borderId="5" xfId="0" applyNumberFormat="1" applyFill="1" applyBorder="1" applyAlignment="1">
      <alignment horizontal="left"/>
    </xf>
    <xf numFmtId="164" fontId="3" fillId="4" borderId="1" xfId="0" applyNumberFormat="1" applyFont="1" applyFill="1" applyBorder="1"/>
    <xf numFmtId="0" fontId="13" fillId="6" borderId="5" xfId="0" applyFont="1" applyFill="1" applyBorder="1" applyAlignment="1"/>
    <xf numFmtId="0" fontId="0" fillId="6" borderId="5" xfId="0" applyFill="1" applyBorder="1" applyAlignment="1"/>
    <xf numFmtId="0" fontId="10" fillId="2" borderId="0" xfId="0" applyFont="1" applyFill="1" applyAlignment="1">
      <alignment horizontal="right"/>
    </xf>
    <xf numFmtId="2" fontId="8" fillId="3" borderId="7" xfId="0" applyNumberFormat="1" applyFont="1" applyFill="1" applyBorder="1" applyAlignment="1">
      <alignment horizontal="right" vertical="center" wrapText="1"/>
    </xf>
    <xf numFmtId="166" fontId="8" fillId="3" borderId="7" xfId="0" applyNumberFormat="1" applyFont="1" applyFill="1" applyBorder="1" applyAlignment="1">
      <alignment horizontal="right" vertical="center" wrapText="1"/>
    </xf>
    <xf numFmtId="164" fontId="0" fillId="2" borderId="0" xfId="0" applyNumberFormat="1" applyFill="1"/>
    <xf numFmtId="0" fontId="10" fillId="2" borderId="0" xfId="0" applyFont="1" applyFill="1" applyAlignment="1">
      <alignment horizontal="center"/>
    </xf>
    <xf numFmtId="0" fontId="3" fillId="0" borderId="1" xfId="0" applyFont="1" applyBorder="1" applyAlignment="1">
      <alignment horizontal="left"/>
    </xf>
    <xf numFmtId="0" fontId="0" fillId="0" borderId="1" xfId="0" applyFont="1" applyBorder="1" applyAlignment="1">
      <alignment horizontal="center"/>
    </xf>
    <xf numFmtId="1" fontId="0" fillId="0" borderId="1" xfId="0" applyNumberFormat="1" applyFont="1" applyBorder="1" applyAlignment="1">
      <alignment horizontal="center"/>
    </xf>
    <xf numFmtId="164" fontId="0" fillId="4" borderId="7" xfId="0" applyNumberFormat="1" applyFill="1" applyBorder="1" applyAlignment="1">
      <alignment horizontal="center" vertical="center"/>
    </xf>
    <xf numFmtId="170" fontId="35" fillId="3" borderId="7" xfId="1" applyNumberFormat="1" applyFont="1" applyFill="1" applyBorder="1" applyAlignment="1">
      <alignment horizontal="right" vertical="center" wrapText="1"/>
    </xf>
    <xf numFmtId="170" fontId="35" fillId="4" borderId="7" xfId="1" applyNumberFormat="1" applyFont="1" applyFill="1" applyBorder="1" applyAlignment="1">
      <alignment horizontal="right" vertical="center" wrapText="1"/>
    </xf>
    <xf numFmtId="1" fontId="35" fillId="4" borderId="7" xfId="0" applyNumberFormat="1" applyFont="1" applyFill="1" applyBorder="1" applyAlignment="1">
      <alignment horizontal="right" vertical="center" wrapText="1"/>
    </xf>
    <xf numFmtId="0" fontId="11" fillId="8" borderId="5" xfId="0" applyFont="1" applyFill="1" applyBorder="1" applyAlignment="1">
      <alignment horizontal="center" vertical="center" wrapText="1"/>
    </xf>
    <xf numFmtId="0" fontId="7" fillId="5" borderId="4" xfId="0" applyFont="1" applyFill="1" applyBorder="1" applyAlignment="1">
      <alignment horizontal="center" vertical="center" wrapText="1"/>
    </xf>
    <xf numFmtId="0" fontId="0" fillId="4" borderId="4" xfId="0" applyFill="1" applyBorder="1" applyAlignment="1">
      <alignment horizontal="left"/>
    </xf>
    <xf numFmtId="0" fontId="0" fillId="4" borderId="5" xfId="0" applyFill="1" applyBorder="1" applyAlignment="1">
      <alignment horizontal="left"/>
    </xf>
    <xf numFmtId="0" fontId="11" fillId="8" borderId="5" xfId="0" applyFont="1" applyFill="1" applyBorder="1" applyAlignment="1">
      <alignment horizontal="center" vertical="center"/>
    </xf>
    <xf numFmtId="2" fontId="0" fillId="6" borderId="4" xfId="0" applyNumberFormat="1" applyFill="1" applyBorder="1" applyAlignment="1">
      <alignment horizontal="left"/>
    </xf>
    <xf numFmtId="176" fontId="0" fillId="2" borderId="0" xfId="0" applyNumberFormat="1" applyFill="1"/>
    <xf numFmtId="0" fontId="36" fillId="0" borderId="0" xfId="529"/>
    <xf numFmtId="164" fontId="14" fillId="6" borderId="19" xfId="0" applyNumberFormat="1" applyFont="1" applyFill="1" applyBorder="1" applyAlignment="1">
      <alignment horizontal="right" vertical="center"/>
    </xf>
    <xf numFmtId="164" fontId="0" fillId="2" borderId="11" xfId="0" applyNumberFormat="1" applyFill="1" applyBorder="1"/>
    <xf numFmtId="0" fontId="38" fillId="14" borderId="1" xfId="0" applyFont="1" applyFill="1" applyBorder="1"/>
    <xf numFmtId="0" fontId="38" fillId="15" borderId="15" xfId="0" applyFont="1" applyFill="1" applyBorder="1"/>
    <xf numFmtId="0" fontId="38" fillId="15" borderId="0" xfId="0" applyFont="1" applyFill="1"/>
    <xf numFmtId="0" fontId="0" fillId="2" borderId="1" xfId="0" applyFill="1" applyBorder="1"/>
    <xf numFmtId="0" fontId="3" fillId="16" borderId="1" xfId="0" applyFont="1" applyFill="1" applyBorder="1"/>
    <xf numFmtId="41" fontId="0" fillId="2" borderId="1" xfId="528" applyFont="1" applyFill="1" applyBorder="1"/>
    <xf numFmtId="0" fontId="7" fillId="5" borderId="3" xfId="0" applyFont="1" applyFill="1" applyBorder="1" applyAlignment="1">
      <alignment horizontal="center" vertical="center" wrapText="1"/>
    </xf>
    <xf numFmtId="2" fontId="0" fillId="6" borderId="4" xfId="0" applyNumberFormat="1" applyFill="1" applyBorder="1" applyAlignment="1">
      <alignment horizontal="left"/>
    </xf>
    <xf numFmtId="2" fontId="0" fillId="6" borderId="5" xfId="0" applyNumberFormat="1" applyFill="1" applyBorder="1" applyAlignment="1">
      <alignment horizontal="left"/>
    </xf>
    <xf numFmtId="0" fontId="4" fillId="0" borderId="0" xfId="0" applyFont="1" applyFill="1" applyBorder="1" applyAlignment="1"/>
    <xf numFmtId="164" fontId="8" fillId="4" borderId="1" xfId="0" applyNumberFormat="1" applyFont="1" applyFill="1" applyBorder="1" applyAlignment="1">
      <alignment horizontal="right" vertical="center" wrapText="1"/>
    </xf>
    <xf numFmtId="166" fontId="35" fillId="0" borderId="6" xfId="0" applyNumberFormat="1" applyFont="1" applyBorder="1" applyAlignment="1">
      <alignment horizontal="right" vertical="center" wrapText="1"/>
    </xf>
    <xf numFmtId="173" fontId="3" fillId="4" borderId="1" xfId="0" applyNumberFormat="1" applyFont="1" applyFill="1" applyBorder="1"/>
    <xf numFmtId="164" fontId="39" fillId="4" borderId="1" xfId="0" applyNumberFormat="1" applyFont="1" applyFill="1" applyBorder="1" applyAlignment="1">
      <alignment horizontal="right" vertical="center" wrapText="1"/>
    </xf>
    <xf numFmtId="173" fontId="7" fillId="5" borderId="7" xfId="0" applyNumberFormat="1" applyFont="1" applyFill="1" applyBorder="1" applyAlignment="1">
      <alignment horizontal="right" vertical="center" wrapText="1"/>
    </xf>
    <xf numFmtId="164" fontId="39" fillId="4" borderId="7" xfId="0" applyNumberFormat="1" applyFont="1" applyFill="1" applyBorder="1" applyAlignment="1">
      <alignment horizontal="right" vertical="center" wrapText="1"/>
    </xf>
    <xf numFmtId="168" fontId="39" fillId="4" borderId="7" xfId="0" applyNumberFormat="1" applyFont="1" applyFill="1" applyBorder="1" applyAlignment="1">
      <alignment horizontal="right" vertical="center" wrapText="1"/>
    </xf>
    <xf numFmtId="1" fontId="7" fillId="5" borderId="7" xfId="0" applyNumberFormat="1" applyFont="1" applyFill="1" applyBorder="1" applyAlignment="1">
      <alignment horizontal="right" vertical="center" wrapText="1"/>
    </xf>
    <xf numFmtId="1" fontId="7" fillId="5" borderId="1" xfId="0" applyNumberFormat="1" applyFont="1" applyFill="1" applyBorder="1" applyAlignment="1">
      <alignment horizontal="right" vertical="center" wrapText="1"/>
    </xf>
    <xf numFmtId="164" fontId="7" fillId="4" borderId="7" xfId="0" applyNumberFormat="1" applyFont="1" applyFill="1" applyBorder="1" applyAlignment="1">
      <alignment horizontal="right" vertical="center" wrapText="1"/>
    </xf>
    <xf numFmtId="1" fontId="40" fillId="4" borderId="7" xfId="0" applyNumberFormat="1" applyFont="1" applyFill="1" applyBorder="1" applyAlignment="1">
      <alignment horizontal="right" vertical="center" wrapText="1"/>
    </xf>
    <xf numFmtId="164" fontId="40" fillId="4" borderId="7" xfId="0" applyNumberFormat="1" applyFont="1" applyFill="1" applyBorder="1" applyAlignment="1">
      <alignment horizontal="right" vertical="center" wrapText="1"/>
    </xf>
    <xf numFmtId="164" fontId="42" fillId="4" borderId="7" xfId="0" applyNumberFormat="1" applyFont="1" applyFill="1" applyBorder="1" applyAlignment="1">
      <alignment horizontal="right" vertical="center" wrapText="1"/>
    </xf>
    <xf numFmtId="166" fontId="41" fillId="4" borderId="7" xfId="0" applyNumberFormat="1" applyFont="1" applyFill="1" applyBorder="1" applyAlignment="1">
      <alignment horizontal="right" vertical="center" wrapText="1"/>
    </xf>
    <xf numFmtId="164" fontId="0" fillId="6" borderId="1" xfId="0" applyNumberFormat="1" applyFill="1" applyBorder="1"/>
    <xf numFmtId="0" fontId="36" fillId="4" borderId="11" xfId="529" applyFill="1" applyBorder="1" applyAlignment="1">
      <alignment wrapText="1"/>
    </xf>
    <xf numFmtId="0" fontId="12" fillId="0" borderId="18" xfId="0" applyFont="1" applyBorder="1" applyAlignment="1">
      <alignment vertical="center"/>
    </xf>
    <xf numFmtId="0" fontId="12" fillId="0" borderId="4" xfId="0" applyFont="1" applyBorder="1" applyAlignment="1">
      <alignment vertical="center"/>
    </xf>
    <xf numFmtId="0" fontId="36" fillId="4" borderId="24" xfId="529" applyFill="1" applyBorder="1" applyAlignment="1">
      <alignment wrapText="1"/>
    </xf>
    <xf numFmtId="0" fontId="36" fillId="4" borderId="24" xfId="529" applyFill="1" applyBorder="1"/>
    <xf numFmtId="0" fontId="5" fillId="0" borderId="1" xfId="529" applyFont="1" applyBorder="1"/>
    <xf numFmtId="0" fontId="37" fillId="0" borderId="1" xfId="529" applyFont="1" applyBorder="1"/>
    <xf numFmtId="177" fontId="37" fillId="0" borderId="1" xfId="531" applyFont="1" applyBorder="1" applyAlignment="1">
      <alignment vertical="top"/>
    </xf>
    <xf numFmtId="177" fontId="37" fillId="0" borderId="1" xfId="531" applyFont="1" applyBorder="1" applyAlignment="1"/>
    <xf numFmtId="0" fontId="36" fillId="2" borderId="0" xfId="529" applyFill="1"/>
    <xf numFmtId="0" fontId="4" fillId="2" borderId="0" xfId="0" quotePrefix="1" applyFont="1" applyFill="1"/>
    <xf numFmtId="164" fontId="13" fillId="6" borderId="5" xfId="0" applyNumberFormat="1" applyFont="1" applyFill="1" applyBorder="1" applyAlignment="1">
      <alignment horizontal="center" vertical="center"/>
    </xf>
    <xf numFmtId="0" fontId="11" fillId="8" borderId="4" xfId="0" applyFont="1" applyFill="1" applyBorder="1" applyAlignment="1">
      <alignment horizontal="center" vertical="center" wrapText="1"/>
    </xf>
    <xf numFmtId="0" fontId="11" fillId="8" borderId="5" xfId="0" applyFont="1" applyFill="1" applyBorder="1" applyAlignment="1">
      <alignment horizontal="center" vertical="center" wrapText="1"/>
    </xf>
    <xf numFmtId="0" fontId="7" fillId="5" borderId="3" xfId="0" applyFont="1" applyFill="1" applyBorder="1" applyAlignment="1">
      <alignment horizontal="center" vertical="center" wrapText="1"/>
    </xf>
    <xf numFmtId="0" fontId="7" fillId="5" borderId="6" xfId="0" applyFont="1" applyFill="1" applyBorder="1" applyAlignment="1">
      <alignment horizontal="center" vertical="center" wrapText="1"/>
    </xf>
    <xf numFmtId="0" fontId="7" fillId="5" borderId="4"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0" fillId="4" borderId="4" xfId="0" applyFill="1" applyBorder="1" applyAlignment="1">
      <alignment horizontal="left"/>
    </xf>
    <xf numFmtId="0" fontId="0" fillId="4" borderId="5" xfId="0" applyFill="1" applyBorder="1" applyAlignment="1">
      <alignment horizontal="left"/>
    </xf>
    <xf numFmtId="0" fontId="11" fillId="8" borderId="4" xfId="0" applyFont="1" applyFill="1" applyBorder="1" applyAlignment="1">
      <alignment horizontal="center" vertical="center"/>
    </xf>
    <xf numFmtId="0" fontId="11" fillId="8" borderId="5" xfId="0" applyFont="1" applyFill="1" applyBorder="1" applyAlignment="1">
      <alignment horizontal="center" vertical="center"/>
    </xf>
    <xf numFmtId="2" fontId="0" fillId="6" borderId="4" xfId="0" applyNumberFormat="1" applyFill="1" applyBorder="1" applyAlignment="1">
      <alignment horizontal="left"/>
    </xf>
    <xf numFmtId="2" fontId="0" fillId="6" borderId="5" xfId="0" applyNumberFormat="1" applyFill="1" applyBorder="1" applyAlignment="1">
      <alignment horizontal="left"/>
    </xf>
    <xf numFmtId="0" fontId="7" fillId="5" borderId="9" xfId="0" applyFont="1" applyFill="1" applyBorder="1" applyAlignment="1">
      <alignment horizontal="center" vertical="center" wrapText="1"/>
    </xf>
    <xf numFmtId="0" fontId="7" fillId="5" borderId="16" xfId="0" applyFont="1" applyFill="1" applyBorder="1" applyAlignment="1">
      <alignment horizontal="center" vertical="center" wrapText="1"/>
    </xf>
    <xf numFmtId="0" fontId="3" fillId="0" borderId="3" xfId="0" applyFont="1" applyBorder="1" applyAlignment="1">
      <alignment horizontal="left" vertical="center"/>
    </xf>
    <xf numFmtId="0" fontId="3" fillId="0" borderId="6" xfId="0" applyFont="1" applyBorder="1" applyAlignment="1">
      <alignment horizontal="left" vertical="center"/>
    </xf>
    <xf numFmtId="0" fontId="0" fillId="2" borderId="21" xfId="0" applyFont="1" applyFill="1" applyBorder="1" applyAlignment="1">
      <alignment horizontal="left" vertical="top" wrapText="1"/>
    </xf>
    <xf numFmtId="0" fontId="0" fillId="2" borderId="20" xfId="0" applyFont="1" applyFill="1" applyBorder="1" applyAlignment="1">
      <alignment horizontal="left" vertical="top" wrapText="1"/>
    </xf>
    <xf numFmtId="0" fontId="0" fillId="2" borderId="22" xfId="0" applyFont="1" applyFill="1" applyBorder="1" applyAlignment="1">
      <alignment horizontal="left" vertical="top" wrapText="1"/>
    </xf>
    <xf numFmtId="0" fontId="0" fillId="2" borderId="21" xfId="0" applyFill="1" applyBorder="1" applyAlignment="1">
      <alignment horizontal="left" vertical="top" wrapText="1"/>
    </xf>
    <xf numFmtId="0" fontId="0" fillId="2" borderId="20" xfId="0" applyFill="1" applyBorder="1" applyAlignment="1">
      <alignment horizontal="left" vertical="top"/>
    </xf>
  </cellXfs>
  <cellStyles count="532">
    <cellStyle name="Lien hypertexte" xfId="24" builtinId="8" hidden="1"/>
    <cellStyle name="Lien hypertexte" xfId="44" builtinId="8" hidden="1"/>
    <cellStyle name="Lien hypertexte" xfId="62" builtinId="8" hidden="1"/>
    <cellStyle name="Lien hypertexte" xfId="16" builtinId="8" hidden="1"/>
    <cellStyle name="Lien hypertexte" xfId="2" builtinId="8" hidden="1"/>
    <cellStyle name="Lien hypertexte" xfId="12" builtinId="8" hidden="1"/>
    <cellStyle name="Lien hypertexte" xfId="64" builtinId="8" hidden="1"/>
    <cellStyle name="Lien hypertexte" xfId="42" builtinId="8" hidden="1"/>
    <cellStyle name="Lien hypertexte" xfId="66" builtinId="8" hidden="1"/>
    <cellStyle name="Lien hypertexte" xfId="98" builtinId="8" hidden="1"/>
    <cellStyle name="Lien hypertexte" xfId="130" builtinId="8" hidden="1"/>
    <cellStyle name="Lien hypertexte" xfId="162" builtinId="8" hidden="1"/>
    <cellStyle name="Lien hypertexte" xfId="194" builtinId="8" hidden="1"/>
    <cellStyle name="Lien hypertexte" xfId="226" builtinId="8" hidden="1"/>
    <cellStyle name="Lien hypertexte" xfId="258" builtinId="8" hidden="1"/>
    <cellStyle name="Lien hypertexte" xfId="290" builtinId="8" hidden="1"/>
    <cellStyle name="Lien hypertexte" xfId="322" builtinId="8" hidden="1"/>
    <cellStyle name="Lien hypertexte" xfId="354" builtinId="8" hidden="1"/>
    <cellStyle name="Lien hypertexte" xfId="386" builtinId="8" hidden="1"/>
    <cellStyle name="Lien hypertexte" xfId="418" builtinId="8" hidden="1"/>
    <cellStyle name="Lien hypertexte" xfId="450" builtinId="8" hidden="1"/>
    <cellStyle name="Lien hypertexte" xfId="482" builtinId="8" hidden="1"/>
    <cellStyle name="Lien hypertexte" xfId="514" builtinId="8" hidden="1"/>
    <cellStyle name="Lien hypertexte" xfId="508" builtinId="8" hidden="1"/>
    <cellStyle name="Lien hypertexte" xfId="476" builtinId="8" hidden="1"/>
    <cellStyle name="Lien hypertexte" xfId="444" builtinId="8" hidden="1"/>
    <cellStyle name="Lien hypertexte" xfId="412" builtinId="8" hidden="1"/>
    <cellStyle name="Lien hypertexte" xfId="380" builtinId="8" hidden="1"/>
    <cellStyle name="Lien hypertexte" xfId="348" builtinId="8" hidden="1"/>
    <cellStyle name="Lien hypertexte" xfId="316" builtinId="8" hidden="1"/>
    <cellStyle name="Lien hypertexte" xfId="284" builtinId="8" hidden="1"/>
    <cellStyle name="Lien hypertexte" xfId="252" builtinId="8" hidden="1"/>
    <cellStyle name="Lien hypertexte" xfId="220" builtinId="8" hidden="1"/>
    <cellStyle name="Lien hypertexte" xfId="112" builtinId="8" hidden="1"/>
    <cellStyle name="Lien hypertexte" xfId="132" builtinId="8" hidden="1"/>
    <cellStyle name="Lien hypertexte" xfId="152" builtinId="8" hidden="1"/>
    <cellStyle name="Lien hypertexte" xfId="176" builtinId="8" hidden="1"/>
    <cellStyle name="Lien hypertexte" xfId="188" builtinId="8" hidden="1"/>
    <cellStyle name="Lien hypertexte" xfId="124" builtinId="8" hidden="1"/>
    <cellStyle name="Lien hypertexte" xfId="96" builtinId="8" hidden="1"/>
    <cellStyle name="Lien hypertexte" xfId="76" builtinId="8" hidden="1"/>
    <cellStyle name="Lien hypertexte" xfId="68" builtinId="8" hidden="1"/>
    <cellStyle name="Lien hypertexte" xfId="92" builtinId="8" hidden="1"/>
    <cellStyle name="Lien hypertexte" xfId="88" builtinId="8" hidden="1"/>
    <cellStyle name="Lien hypertexte" xfId="140" builtinId="8" hidden="1"/>
    <cellStyle name="Lien hypertexte" xfId="192" builtinId="8" hidden="1"/>
    <cellStyle name="Lien hypertexte" xfId="168" builtinId="8" hidden="1"/>
    <cellStyle name="Lien hypertexte" xfId="148" builtinId="8" hidden="1"/>
    <cellStyle name="Lien hypertexte" xfId="128" builtinId="8" hidden="1"/>
    <cellStyle name="Lien hypertexte" xfId="196" builtinId="8" hidden="1"/>
    <cellStyle name="Lien hypertexte" xfId="228" builtinId="8" hidden="1"/>
    <cellStyle name="Lien hypertexte" xfId="260" builtinId="8" hidden="1"/>
    <cellStyle name="Lien hypertexte" xfId="292" builtinId="8" hidden="1"/>
    <cellStyle name="Lien hypertexte" xfId="324" builtinId="8" hidden="1"/>
    <cellStyle name="Lien hypertexte" xfId="356" builtinId="8" hidden="1"/>
    <cellStyle name="Lien hypertexte" xfId="388" builtinId="8" hidden="1"/>
    <cellStyle name="Lien hypertexte" xfId="420" builtinId="8" hidden="1"/>
    <cellStyle name="Lien hypertexte" xfId="452" builtinId="8" hidden="1"/>
    <cellStyle name="Lien hypertexte" xfId="484" builtinId="8" hidden="1"/>
    <cellStyle name="Lien hypertexte" xfId="516" builtinId="8" hidden="1"/>
    <cellStyle name="Lien hypertexte" xfId="506" builtinId="8" hidden="1"/>
    <cellStyle name="Lien hypertexte" xfId="474" builtinId="8" hidden="1"/>
    <cellStyle name="Lien hypertexte" xfId="442" builtinId="8" hidden="1"/>
    <cellStyle name="Lien hypertexte" xfId="410" builtinId="8" hidden="1"/>
    <cellStyle name="Lien hypertexte" xfId="378" builtinId="8" hidden="1"/>
    <cellStyle name="Lien hypertexte" xfId="346" builtinId="8" hidden="1"/>
    <cellStyle name="Lien hypertexte" xfId="314" builtinId="8" hidden="1"/>
    <cellStyle name="Lien hypertexte" xfId="282" builtinId="8" hidden="1"/>
    <cellStyle name="Lien hypertexte" xfId="250" builtinId="8" hidden="1"/>
    <cellStyle name="Lien hypertexte" xfId="218" builtinId="8" hidden="1"/>
    <cellStyle name="Lien hypertexte" xfId="186" builtinId="8" hidden="1"/>
    <cellStyle name="Lien hypertexte" xfId="154" builtinId="8" hidden="1"/>
    <cellStyle name="Lien hypertexte" xfId="122" builtinId="8" hidden="1"/>
    <cellStyle name="Lien hypertexte" xfId="90" builtinId="8" hidden="1"/>
    <cellStyle name="Lien hypertexte" xfId="26" builtinId="8" hidden="1"/>
    <cellStyle name="Lien hypertexte" xfId="48" builtinId="8" hidden="1"/>
    <cellStyle name="Lien hypertexte" xfId="54" builtinId="8" hidden="1"/>
    <cellStyle name="Lien hypertexte" xfId="18" builtinId="8" hidden="1"/>
    <cellStyle name="Lien hypertexte" xfId="4" builtinId="8" hidden="1"/>
    <cellStyle name="Lien hypertexte" xfId="10" builtinId="8" hidden="1"/>
    <cellStyle name="Lien hypertexte" xfId="60" builtinId="8" hidden="1"/>
    <cellStyle name="Lien hypertexte" xfId="40" builtinId="8" hidden="1"/>
    <cellStyle name="Lien hypertexte" xfId="70" builtinId="8" hidden="1"/>
    <cellStyle name="Lien hypertexte" xfId="102" builtinId="8" hidden="1"/>
    <cellStyle name="Lien hypertexte" xfId="134" builtinId="8" hidden="1"/>
    <cellStyle name="Lien hypertexte" xfId="166" builtinId="8" hidden="1"/>
    <cellStyle name="Lien hypertexte" xfId="198" builtinId="8" hidden="1"/>
    <cellStyle name="Lien hypertexte" xfId="230" builtinId="8" hidden="1"/>
    <cellStyle name="Lien hypertexte" xfId="262" builtinId="8" hidden="1"/>
    <cellStyle name="Lien hypertexte" xfId="294" builtinId="8" hidden="1"/>
    <cellStyle name="Lien hypertexte" xfId="326" builtinId="8" hidden="1"/>
    <cellStyle name="Lien hypertexte" xfId="358" builtinId="8" hidden="1"/>
    <cellStyle name="Lien hypertexte" xfId="390" builtinId="8" hidden="1"/>
    <cellStyle name="Lien hypertexte" xfId="422" builtinId="8" hidden="1"/>
    <cellStyle name="Lien hypertexte" xfId="454" builtinId="8" hidden="1"/>
    <cellStyle name="Lien hypertexte" xfId="486" builtinId="8" hidden="1"/>
    <cellStyle name="Lien hypertexte" xfId="518" builtinId="8" hidden="1"/>
    <cellStyle name="Lien hypertexte" xfId="504" builtinId="8" hidden="1"/>
    <cellStyle name="Lien hypertexte" xfId="472" builtinId="8" hidden="1"/>
    <cellStyle name="Lien hypertexte" xfId="288" builtinId="8" hidden="1"/>
    <cellStyle name="Lien hypertexte" xfId="304" builtinId="8" hidden="1"/>
    <cellStyle name="Lien hypertexte" xfId="328" builtinId="8" hidden="1"/>
    <cellStyle name="Lien hypertexte" xfId="352" builtinId="8" hidden="1"/>
    <cellStyle name="Lien hypertexte" xfId="368" builtinId="8" hidden="1"/>
    <cellStyle name="Lien hypertexte" xfId="392" builtinId="8" hidden="1"/>
    <cellStyle name="Lien hypertexte" xfId="416" builtinId="8" hidden="1"/>
    <cellStyle name="Lien hypertexte" xfId="432" builtinId="8" hidden="1"/>
    <cellStyle name="Lien hypertexte" xfId="440" builtinId="8" hidden="1"/>
    <cellStyle name="Lien hypertexte" xfId="376" builtinId="8" hidden="1"/>
    <cellStyle name="Lien hypertexte" xfId="312" builtinId="8" hidden="1"/>
    <cellStyle name="Lien hypertexte" xfId="232" builtinId="8" hidden="1"/>
    <cellStyle name="Lien hypertexte" xfId="256" builtinId="8" hidden="1"/>
    <cellStyle name="Lien hypertexte" xfId="272" builtinId="8" hidden="1"/>
    <cellStyle name="Lien hypertexte" xfId="216" builtinId="8" hidden="1"/>
    <cellStyle name="Lien hypertexte" xfId="208" builtinId="8" hidden="1"/>
    <cellStyle name="Lien hypertexte" xfId="200" builtinId="8" hidden="1"/>
    <cellStyle name="Lien hypertexte" xfId="224" builtinId="8" hidden="1"/>
    <cellStyle name="Lien hypertexte" xfId="248" builtinId="8" hidden="1"/>
    <cellStyle name="Lien hypertexte" xfId="264" builtinId="8" hidden="1"/>
    <cellStyle name="Lien hypertexte" xfId="240" builtinId="8" hidden="1"/>
    <cellStyle name="Lien hypertexte" xfId="280" builtinId="8" hidden="1"/>
    <cellStyle name="Lien hypertexte" xfId="344" builtinId="8" hidden="1"/>
    <cellStyle name="Lien hypertexte" xfId="408" builtinId="8" hidden="1"/>
    <cellStyle name="Lien hypertexte" xfId="448" builtinId="8" hidden="1"/>
    <cellStyle name="Lien hypertexte" xfId="424" builtinId="8" hidden="1"/>
    <cellStyle name="Lien hypertexte" xfId="400" builtinId="8" hidden="1"/>
    <cellStyle name="Lien hypertexte" xfId="384" builtinId="8" hidden="1"/>
    <cellStyle name="Lien hypertexte" xfId="360" builtinId="8" hidden="1"/>
    <cellStyle name="Lien hypertexte" xfId="336" builtinId="8" hidden="1"/>
    <cellStyle name="Lien hypertexte" xfId="320" builtinId="8" hidden="1"/>
    <cellStyle name="Lien hypertexte" xfId="296" builtinId="8" hidden="1"/>
    <cellStyle name="Lien hypertexte" xfId="456" builtinId="8" hidden="1"/>
    <cellStyle name="Lien hypertexte" xfId="488" builtinId="8" hidden="1"/>
    <cellStyle name="Lien hypertexte" xfId="520" builtinId="8" hidden="1"/>
    <cellStyle name="Lien hypertexte" xfId="502" builtinId="8" hidden="1"/>
    <cellStyle name="Lien hypertexte" xfId="470" builtinId="8" hidden="1"/>
    <cellStyle name="Lien hypertexte" xfId="438" builtinId="8" hidden="1"/>
    <cellStyle name="Lien hypertexte" xfId="406" builtinId="8" hidden="1"/>
    <cellStyle name="Lien hypertexte" xfId="374" builtinId="8" hidden="1"/>
    <cellStyle name="Lien hypertexte" xfId="342" builtinId="8" hidden="1"/>
    <cellStyle name="Lien hypertexte" xfId="310" builtinId="8" hidden="1"/>
    <cellStyle name="Lien hypertexte" xfId="278" builtinId="8" hidden="1"/>
    <cellStyle name="Lien hypertexte" xfId="246" builtinId="8" hidden="1"/>
    <cellStyle name="Lien hypertexte" xfId="214" builtinId="8" hidden="1"/>
    <cellStyle name="Lien hypertexte" xfId="182" builtinId="8" hidden="1"/>
    <cellStyle name="Lien hypertexte" xfId="150" builtinId="8" hidden="1"/>
    <cellStyle name="Lien hypertexte" xfId="118" builtinId="8" hidden="1"/>
    <cellStyle name="Lien hypertexte" xfId="86" builtinId="8" hidden="1"/>
    <cellStyle name="Lien hypertexte" xfId="28" builtinId="8" hidden="1"/>
    <cellStyle name="Lien hypertexte" xfId="50" builtinId="8" hidden="1"/>
    <cellStyle name="Lien hypertexte" xfId="46" builtinId="8" hidden="1"/>
    <cellStyle name="Lien hypertexte" xfId="20" builtinId="8" hidden="1"/>
    <cellStyle name="Lien hypertexte" xfId="8" builtinId="8" hidden="1"/>
    <cellStyle name="Lien hypertexte" xfId="22" builtinId="8" hidden="1"/>
    <cellStyle name="Lien hypertexte" xfId="58" builtinId="8" hidden="1"/>
    <cellStyle name="Lien hypertexte" xfId="36" builtinId="8" hidden="1"/>
    <cellStyle name="Lien hypertexte" xfId="74" builtinId="8" hidden="1"/>
    <cellStyle name="Lien hypertexte" xfId="106" builtinId="8" hidden="1"/>
    <cellStyle name="Lien hypertexte" xfId="138" builtinId="8" hidden="1"/>
    <cellStyle name="Lien hypertexte" xfId="170" builtinId="8" hidden="1"/>
    <cellStyle name="Lien hypertexte" xfId="202" builtinId="8" hidden="1"/>
    <cellStyle name="Lien hypertexte" xfId="234" builtinId="8" hidden="1"/>
    <cellStyle name="Lien hypertexte" xfId="266" builtinId="8" hidden="1"/>
    <cellStyle name="Lien hypertexte" xfId="298" builtinId="8" hidden="1"/>
    <cellStyle name="Lien hypertexte" xfId="330" builtinId="8" hidden="1"/>
    <cellStyle name="Lien hypertexte" xfId="362" builtinId="8" hidden="1"/>
    <cellStyle name="Lien hypertexte" xfId="394" builtinId="8" hidden="1"/>
    <cellStyle name="Lien hypertexte" xfId="426" builtinId="8" hidden="1"/>
    <cellStyle name="Lien hypertexte" xfId="458" builtinId="8" hidden="1"/>
    <cellStyle name="Lien hypertexte" xfId="490" builtinId="8" hidden="1"/>
    <cellStyle name="Lien hypertexte" xfId="522" builtinId="8" hidden="1"/>
    <cellStyle name="Lien hypertexte" xfId="500" builtinId="8" hidden="1"/>
    <cellStyle name="Lien hypertexte" xfId="468" builtinId="8" hidden="1"/>
    <cellStyle name="Lien hypertexte" xfId="436" builtinId="8" hidden="1"/>
    <cellStyle name="Lien hypertexte" xfId="404" builtinId="8" hidden="1"/>
    <cellStyle name="Lien hypertexte" xfId="372" builtinId="8" hidden="1"/>
    <cellStyle name="Lien hypertexte" xfId="340" builtinId="8" hidden="1"/>
    <cellStyle name="Lien hypertexte" xfId="308" builtinId="8" hidden="1"/>
    <cellStyle name="Lien hypertexte" xfId="276" builtinId="8" hidden="1"/>
    <cellStyle name="Lien hypertexte" xfId="244" builtinId="8" hidden="1"/>
    <cellStyle name="Lien hypertexte" xfId="212" builtinId="8" hidden="1"/>
    <cellStyle name="Lien hypertexte" xfId="116" builtinId="8" hidden="1"/>
    <cellStyle name="Lien hypertexte" xfId="136" builtinId="8" hidden="1"/>
    <cellStyle name="Lien hypertexte" xfId="160" builtinId="8" hidden="1"/>
    <cellStyle name="Lien hypertexte" xfId="180" builtinId="8" hidden="1"/>
    <cellStyle name="Lien hypertexte" xfId="172" builtinId="8" hidden="1"/>
    <cellStyle name="Lien hypertexte" xfId="108" builtinId="8" hidden="1"/>
    <cellStyle name="Lien hypertexte" xfId="100" builtinId="8" hidden="1"/>
    <cellStyle name="Lien hypertexte" xfId="80" builtinId="8" hidden="1"/>
    <cellStyle name="Lien hypertexte" xfId="72" builtinId="8" hidden="1"/>
    <cellStyle name="Lien hypertexte" xfId="104" builtinId="8" hidden="1"/>
    <cellStyle name="Lien hypertexte" xfId="84" builtinId="8" hidden="1"/>
    <cellStyle name="Lien hypertexte" xfId="156" builtinId="8" hidden="1"/>
    <cellStyle name="Lien hypertexte" xfId="184" builtinId="8" hidden="1"/>
    <cellStyle name="Lien hypertexte" xfId="164" builtinId="8" hidden="1"/>
    <cellStyle name="Lien hypertexte" xfId="144" builtinId="8" hidden="1"/>
    <cellStyle name="Lien hypertexte" xfId="120" builtinId="8" hidden="1"/>
    <cellStyle name="Lien hypertexte" xfId="204" builtinId="8" hidden="1"/>
    <cellStyle name="Lien hypertexte" xfId="236" builtinId="8" hidden="1"/>
    <cellStyle name="Lien hypertexte" xfId="268" builtinId="8" hidden="1"/>
    <cellStyle name="Lien hypertexte" xfId="300" builtinId="8" hidden="1"/>
    <cellStyle name="Lien hypertexte" xfId="332" builtinId="8" hidden="1"/>
    <cellStyle name="Lien hypertexte" xfId="364" builtinId="8" hidden="1"/>
    <cellStyle name="Lien hypertexte" xfId="396" builtinId="8" hidden="1"/>
    <cellStyle name="Lien hypertexte" xfId="428" builtinId="8" hidden="1"/>
    <cellStyle name="Lien hypertexte" xfId="460" builtinId="8" hidden="1"/>
    <cellStyle name="Lien hypertexte" xfId="492" builtinId="8" hidden="1"/>
    <cellStyle name="Lien hypertexte" xfId="524" builtinId="8" hidden="1"/>
    <cellStyle name="Lien hypertexte" xfId="498" builtinId="8" hidden="1"/>
    <cellStyle name="Lien hypertexte" xfId="466" builtinId="8" hidden="1"/>
    <cellStyle name="Lien hypertexte" xfId="434" builtinId="8" hidden="1"/>
    <cellStyle name="Lien hypertexte" xfId="402" builtinId="8" hidden="1"/>
    <cellStyle name="Lien hypertexte" xfId="370" builtinId="8" hidden="1"/>
    <cellStyle name="Lien hypertexte" xfId="338" builtinId="8" hidden="1"/>
    <cellStyle name="Lien hypertexte" xfId="306" builtinId="8" hidden="1"/>
    <cellStyle name="Lien hypertexte" xfId="274" builtinId="8" hidden="1"/>
    <cellStyle name="Lien hypertexte" xfId="242" builtinId="8" hidden="1"/>
    <cellStyle name="Lien hypertexte" xfId="210" builtinId="8" hidden="1"/>
    <cellStyle name="Lien hypertexte" xfId="178" builtinId="8" hidden="1"/>
    <cellStyle name="Lien hypertexte" xfId="146" builtinId="8" hidden="1"/>
    <cellStyle name="Lien hypertexte" xfId="114" builtinId="8" hidden="1"/>
    <cellStyle name="Lien hypertexte" xfId="82" builtinId="8" hidden="1"/>
    <cellStyle name="Lien hypertexte" xfId="32" builtinId="8" hidden="1"/>
    <cellStyle name="Lien hypertexte" xfId="52" builtinId="8" hidden="1"/>
    <cellStyle name="Lien hypertexte" xfId="38" builtinId="8" hidden="1"/>
    <cellStyle name="Lien hypertexte" xfId="14" builtinId="8" hidden="1"/>
    <cellStyle name="Lien hypertexte" xfId="6" builtinId="8" hidden="1"/>
    <cellStyle name="Lien hypertexte" xfId="30" builtinId="8" hidden="1"/>
    <cellStyle name="Lien hypertexte" xfId="56" builtinId="8" hidden="1"/>
    <cellStyle name="Lien hypertexte" xfId="34" builtinId="8" hidden="1"/>
    <cellStyle name="Lien hypertexte" xfId="78" builtinId="8" hidden="1"/>
    <cellStyle name="Lien hypertexte" xfId="414" builtinId="8" hidden="1"/>
    <cellStyle name="Lien hypertexte" xfId="398" builtinId="8" hidden="1"/>
    <cellStyle name="Lien hypertexte" xfId="382" builtinId="8" hidden="1"/>
    <cellStyle name="Lien hypertexte" xfId="350" builtinId="8" hidden="1"/>
    <cellStyle name="Lien hypertexte" xfId="334" builtinId="8" hidden="1"/>
    <cellStyle name="Lien hypertexte" xfId="318" builtinId="8" hidden="1"/>
    <cellStyle name="Lien hypertexte" xfId="286" builtinId="8" hidden="1"/>
    <cellStyle name="Lien hypertexte" xfId="270" builtinId="8" hidden="1"/>
    <cellStyle name="Lien hypertexte" xfId="254" builtinId="8" hidden="1"/>
    <cellStyle name="Lien hypertexte" xfId="222" builtinId="8" hidden="1"/>
    <cellStyle name="Lien hypertexte" xfId="206" builtinId="8" hidden="1"/>
    <cellStyle name="Lien hypertexte" xfId="190" builtinId="8" hidden="1"/>
    <cellStyle name="Lien hypertexte" xfId="158" builtinId="8" hidden="1"/>
    <cellStyle name="Lien hypertexte" xfId="142" builtinId="8" hidden="1"/>
    <cellStyle name="Lien hypertexte" xfId="126" builtinId="8" hidden="1"/>
    <cellStyle name="Lien hypertexte" xfId="94" builtinId="8" hidden="1"/>
    <cellStyle name="Lien hypertexte" xfId="110" builtinId="8" hidden="1"/>
    <cellStyle name="Lien hypertexte" xfId="174" builtinId="8" hidden="1"/>
    <cellStyle name="Lien hypertexte" xfId="238" builtinId="8" hidden="1"/>
    <cellStyle name="Lien hypertexte" xfId="302" builtinId="8" hidden="1"/>
    <cellStyle name="Lien hypertexte" xfId="366" builtinId="8" hidden="1"/>
    <cellStyle name="Lien hypertexte" xfId="430" builtinId="8" hidden="1"/>
    <cellStyle name="Lien hypertexte" xfId="526" builtinId="8" hidden="1"/>
    <cellStyle name="Lien hypertexte" xfId="510" builtinId="8" hidden="1"/>
    <cellStyle name="Lien hypertexte" xfId="478" builtinId="8" hidden="1"/>
    <cellStyle name="Lien hypertexte" xfId="462" builtinId="8" hidden="1"/>
    <cellStyle name="Lien hypertexte" xfId="446" builtinId="8" hidden="1"/>
    <cellStyle name="Lien hypertexte" xfId="494" builtinId="8" hidden="1"/>
    <cellStyle name="Lien hypertexte" xfId="496" builtinId="8" hidden="1"/>
    <cellStyle name="Lien hypertexte" xfId="512" builtinId="8" hidden="1"/>
    <cellStyle name="Lien hypertexte" xfId="480" builtinId="8" hidden="1"/>
    <cellStyle name="Lien hypertexte" xfId="464" builtinId="8" hidden="1"/>
    <cellStyle name="Lien hypertexte visité" xfId="275" builtinId="9" hidden="1"/>
    <cellStyle name="Lien hypertexte visité" xfId="283" builtinId="9" hidden="1"/>
    <cellStyle name="Lien hypertexte visité" xfId="285" builtinId="9" hidden="1"/>
    <cellStyle name="Lien hypertexte visité" xfId="287" builtinId="9" hidden="1"/>
    <cellStyle name="Lien hypertexte visité" xfId="295" builtinId="9" hidden="1"/>
    <cellStyle name="Lien hypertexte visité" xfId="299" builtinId="9" hidden="1"/>
    <cellStyle name="Lien hypertexte visité" xfId="307" builtinId="9" hidden="1"/>
    <cellStyle name="Lien hypertexte visité" xfId="303" builtinId="9" hidden="1"/>
    <cellStyle name="Lien hypertexte visité" xfId="223" builtinId="9" hidden="1"/>
    <cellStyle name="Lien hypertexte visité" xfId="227" builtinId="9" hidden="1"/>
    <cellStyle name="Lien hypertexte visité" xfId="235" builtinId="9" hidden="1"/>
    <cellStyle name="Lien hypertexte visité" xfId="237" builtinId="9" hidden="1"/>
    <cellStyle name="Lien hypertexte visité" xfId="239" builtinId="9" hidden="1"/>
    <cellStyle name="Lien hypertexte visité" xfId="247" builtinId="9" hidden="1"/>
    <cellStyle name="Lien hypertexte visité" xfId="211" builtinId="9" hidden="1"/>
    <cellStyle name="Lien hypertexte visité" xfId="215" builtinId="9" hidden="1"/>
    <cellStyle name="Lien hypertexte visité" xfId="221" builtinId="9" hidden="1"/>
    <cellStyle name="Lien hypertexte visité" xfId="207" builtinId="9" hidden="1"/>
    <cellStyle name="Lien hypertexte visité" xfId="203" builtinId="9" hidden="1"/>
    <cellStyle name="Lien hypertexte visité" xfId="205" builtinId="9" hidden="1"/>
    <cellStyle name="Lien hypertexte visité" xfId="213" builtinId="9" hidden="1"/>
    <cellStyle name="Lien hypertexte visité" xfId="243" builtinId="9" hidden="1"/>
    <cellStyle name="Lien hypertexte visité" xfId="261" builtinId="9" hidden="1"/>
    <cellStyle name="Lien hypertexte visité" xfId="301" builtinId="9" hidden="1"/>
    <cellStyle name="Lien hypertexte visité" xfId="291" builtinId="9" hidden="1"/>
    <cellStyle name="Lien hypertexte visité" xfId="269" builtinId="9" hidden="1"/>
    <cellStyle name="Lien hypertexte visité" xfId="255" builtinId="9" hidden="1"/>
    <cellStyle name="Lien hypertexte visité" xfId="347" builtinId="9" hidden="1"/>
    <cellStyle name="Lien hypertexte visité" xfId="451" builtinId="9" hidden="1"/>
    <cellStyle name="Lien hypertexte visité" xfId="439" builtinId="9" hidden="1"/>
    <cellStyle name="Lien hypertexte visité" xfId="427" builtinId="9" hidden="1"/>
    <cellStyle name="Lien hypertexte visité" xfId="403" builtinId="9" hidden="1"/>
    <cellStyle name="Lien hypertexte visité" xfId="391" builtinId="9" hidden="1"/>
    <cellStyle name="Lien hypertexte visité" xfId="379" builtinId="9" hidden="1"/>
    <cellStyle name="Lien hypertexte visité" xfId="355" builtinId="9" hidden="1"/>
    <cellStyle name="Lien hypertexte visité" xfId="341" builtinId="9" hidden="1"/>
    <cellStyle name="Lien hypertexte visité" xfId="331" builtinId="9" hidden="1"/>
    <cellStyle name="Lien hypertexte visité" xfId="475" builtinId="9" hidden="1"/>
    <cellStyle name="Lien hypertexte visité" xfId="517" builtinId="9" hidden="1"/>
    <cellStyle name="Lien hypertexte visité" xfId="433" builtinId="9" hidden="1"/>
    <cellStyle name="Lien hypertexte visité" xfId="91" builtinId="9" hidden="1"/>
    <cellStyle name="Lien hypertexte visité" xfId="127" builtinId="9" hidden="1"/>
    <cellStyle name="Lien hypertexte visité" xfId="165" builtinId="9" hidden="1"/>
    <cellStyle name="Lien hypertexte visité" xfId="63" builtinId="9" hidden="1"/>
    <cellStyle name="Lien hypertexte visité" xfId="27" builtinId="9" hidden="1"/>
    <cellStyle name="Lien hypertexte visité" xfId="3" builtinId="9" hidden="1"/>
    <cellStyle name="Lien hypertexte visité" xfId="37" builtinId="9" hidden="1"/>
    <cellStyle name="Lien hypertexte visité" xfId="25" builtinId="9" hidden="1"/>
    <cellStyle name="Lien hypertexte visité" xfId="85" builtinId="9" hidden="1"/>
    <cellStyle name="Lien hypertexte visité" xfId="61" builtinId="9" hidden="1"/>
    <cellStyle name="Lien hypertexte visité" xfId="281" builtinId="9" hidden="1"/>
    <cellStyle name="Lien hypertexte visité" xfId="265" builtinId="9" hidden="1"/>
    <cellStyle name="Lien hypertexte visité" xfId="249" builtinId="9" hidden="1"/>
    <cellStyle name="Lien hypertexte visité" xfId="233" builtinId="9" hidden="1"/>
    <cellStyle name="Lien hypertexte visité" xfId="217" builtinId="9" hidden="1"/>
    <cellStyle name="Lien hypertexte visité" xfId="87" builtinId="9" hidden="1"/>
    <cellStyle name="Lien hypertexte visité" xfId="89" builtinId="9" hidden="1"/>
    <cellStyle name="Lien hypertexte visité" xfId="93" builtinId="9" hidden="1"/>
    <cellStyle name="Lien hypertexte visité" xfId="99" builtinId="9" hidden="1"/>
    <cellStyle name="Lien hypertexte visité" xfId="105" builtinId="9" hidden="1"/>
    <cellStyle name="Lien hypertexte visité" xfId="107" builtinId="9" hidden="1"/>
    <cellStyle name="Lien hypertexte visité" xfId="115" builtinId="9" hidden="1"/>
    <cellStyle name="Lien hypertexte visité" xfId="117" builtinId="9" hidden="1"/>
    <cellStyle name="Lien hypertexte visité" xfId="121" builtinId="9" hidden="1"/>
    <cellStyle name="Lien hypertexte visité" xfId="131" builtinId="9" hidden="1"/>
    <cellStyle name="Lien hypertexte visité" xfId="133" builtinId="9" hidden="1"/>
    <cellStyle name="Lien hypertexte visité" xfId="135" builtinId="9" hidden="1"/>
    <cellStyle name="Lien hypertexte visité" xfId="141" builtinId="9" hidden="1"/>
    <cellStyle name="Lien hypertexte visité" xfId="143" builtinId="9" hidden="1"/>
    <cellStyle name="Lien hypertexte visité" xfId="149" builtinId="9" hidden="1"/>
    <cellStyle name="Lien hypertexte visité" xfId="157" builtinId="9" hidden="1"/>
    <cellStyle name="Lien hypertexte visité" xfId="159" builtinId="9" hidden="1"/>
    <cellStyle name="Lien hypertexte visité" xfId="163" builtinId="9" hidden="1"/>
    <cellStyle name="Lien hypertexte visité" xfId="169" builtinId="9" hidden="1"/>
    <cellStyle name="Lien hypertexte visité" xfId="171" builtinId="9" hidden="1"/>
    <cellStyle name="Lien hypertexte visité" xfId="179" builtinId="9" hidden="1"/>
    <cellStyle name="Lien hypertexte visité" xfId="185" builtinId="9" hidden="1"/>
    <cellStyle name="Lien hypertexte visité" xfId="187" builtinId="9" hidden="1"/>
    <cellStyle name="Lien hypertexte visité" xfId="189" builtinId="9" hidden="1"/>
    <cellStyle name="Lien hypertexte visité" xfId="197" builtinId="9" hidden="1"/>
    <cellStyle name="Lien hypertexte visité" xfId="161" builtinId="9" hidden="1"/>
    <cellStyle name="Lien hypertexte visité" xfId="145" builtinId="9" hidden="1"/>
    <cellStyle name="Lien hypertexte visité" xfId="97" builtinId="9" hidden="1"/>
    <cellStyle name="Lien hypertexte visité" xfId="41" builtinId="9" hidden="1"/>
    <cellStyle name="Lien hypertexte visité" xfId="43" builtinId="9" hidden="1"/>
    <cellStyle name="Lien hypertexte visité" xfId="53" builtinId="9" hidden="1"/>
    <cellStyle name="Lien hypertexte visité" xfId="57" builtinId="9" hidden="1"/>
    <cellStyle name="Lien hypertexte visité" xfId="51" builtinId="9" hidden="1"/>
    <cellStyle name="Lien hypertexte visité" xfId="175" builtinId="9" hidden="1"/>
    <cellStyle name="Lien hypertexte visité" xfId="151" builtinId="9" hidden="1"/>
    <cellStyle name="Lien hypertexte visité" xfId="125" builtinId="9" hidden="1"/>
    <cellStyle name="Lien hypertexte visité" xfId="225" builtinId="9" hidden="1"/>
    <cellStyle name="Lien hypertexte visité" xfId="521" builtinId="9" hidden="1"/>
    <cellStyle name="Lien hypertexte visité" xfId="513" builtinId="9" hidden="1"/>
    <cellStyle name="Lien hypertexte visité" xfId="489" builtinId="9" hidden="1"/>
    <cellStyle name="Lien hypertexte visité" xfId="473" builtinId="9" hidden="1"/>
    <cellStyle name="Lien hypertexte visité" xfId="457" builtinId="9" hidden="1"/>
    <cellStyle name="Lien hypertexte visité" xfId="441" builtinId="9" hidden="1"/>
    <cellStyle name="Lien hypertexte visité" xfId="425" builtinId="9" hidden="1"/>
    <cellStyle name="Lien hypertexte visité" xfId="417" builtinId="9" hidden="1"/>
    <cellStyle name="Lien hypertexte visité" xfId="393" builtinId="9" hidden="1"/>
    <cellStyle name="Lien hypertexte visité" xfId="385" builtinId="9" hidden="1"/>
    <cellStyle name="Lien hypertexte visité" xfId="377" builtinId="9" hidden="1"/>
    <cellStyle name="Lien hypertexte visité" xfId="353" builtinId="9" hidden="1"/>
    <cellStyle name="Lien hypertexte visité" xfId="345" builtinId="9" hidden="1"/>
    <cellStyle name="Lien hypertexte visité" xfId="329" builtinId="9" hidden="1"/>
    <cellStyle name="Lien hypertexte visité" xfId="297" builtinId="9" hidden="1"/>
    <cellStyle name="Lien hypertexte visité" xfId="289" builtinId="9" hidden="1"/>
    <cellStyle name="Lien hypertexte visité" xfId="313" builtinId="9" hidden="1"/>
    <cellStyle name="Lien hypertexte visité" xfId="493" builtinId="9" hidden="1"/>
    <cellStyle name="Lien hypertexte visité" xfId="499" builtinId="9" hidden="1"/>
    <cellStyle name="Lien hypertexte visité" xfId="501" builtinId="9" hidden="1"/>
    <cellStyle name="Lien hypertexte visité" xfId="509" builtinId="9" hidden="1"/>
    <cellStyle name="Lien hypertexte visité" xfId="511" builtinId="9" hidden="1"/>
    <cellStyle name="Lien hypertexte visité" xfId="515" builtinId="9" hidden="1"/>
    <cellStyle name="Lien hypertexte visité" xfId="523" builtinId="9" hidden="1"/>
    <cellStyle name="Lien hypertexte visité" xfId="525" builtinId="9" hidden="1"/>
    <cellStyle name="Lien hypertexte visité" xfId="477" builtinId="9" hidden="1"/>
    <cellStyle name="Lien hypertexte visité" xfId="483" builtinId="9" hidden="1"/>
    <cellStyle name="Lien hypertexte visité" xfId="487" builtinId="9" hidden="1"/>
    <cellStyle name="Lien hypertexte visité" xfId="491" builtinId="9" hidden="1"/>
    <cellStyle name="Lien hypertexte visité" xfId="471" builtinId="9" hidden="1"/>
    <cellStyle name="Lien hypertexte visité" xfId="467" builtinId="9" hidden="1"/>
    <cellStyle name="Lien hypertexte visité" xfId="461" builtinId="9" hidden="1"/>
    <cellStyle name="Lien hypertexte visité" xfId="469" builtinId="9" hidden="1"/>
    <cellStyle name="Lien hypertexte visité" xfId="479" builtinId="9" hidden="1"/>
    <cellStyle name="Lien hypertexte visité" xfId="519" builtinId="9" hidden="1"/>
    <cellStyle name="Lien hypertexte visité" xfId="503" builtinId="9" hidden="1"/>
    <cellStyle name="Lien hypertexte visité" xfId="481" builtinId="9" hidden="1"/>
    <cellStyle name="Lien hypertexte visité" xfId="321" builtinId="9" hidden="1"/>
    <cellStyle name="Lien hypertexte visité" xfId="361" builtinId="9" hidden="1"/>
    <cellStyle name="Lien hypertexte visité" xfId="409" builtinId="9" hidden="1"/>
    <cellStyle name="Lien hypertexte visité" xfId="449" builtinId="9" hidden="1"/>
    <cellStyle name="Lien hypertexte visité" xfId="505" builtinId="9" hidden="1"/>
    <cellStyle name="Lien hypertexte visité" xfId="103" builtinId="9" hidden="1"/>
    <cellStyle name="Lien hypertexte visité" xfId="193" builtinId="9" hidden="1"/>
    <cellStyle name="Lien hypertexte visité" xfId="47" builtinId="9" hidden="1"/>
    <cellStyle name="Lien hypertexte visité" xfId="129" builtinId="9" hidden="1"/>
    <cellStyle name="Lien hypertexte visité" xfId="195" builtinId="9" hidden="1"/>
    <cellStyle name="Lien hypertexte visité" xfId="181" builtinId="9" hidden="1"/>
    <cellStyle name="Lien hypertexte visité" xfId="167" builtinId="9" hidden="1"/>
    <cellStyle name="Lien hypertexte visité" xfId="153" builtinId="9" hidden="1"/>
    <cellStyle name="Lien hypertexte visité" xfId="139" builtinId="9" hidden="1"/>
    <cellStyle name="Lien hypertexte visité" xfId="123" builtinId="9" hidden="1"/>
    <cellStyle name="Lien hypertexte visité" xfId="111" builtinId="9" hidden="1"/>
    <cellStyle name="Lien hypertexte visité" xfId="95" builtinId="9" hidden="1"/>
    <cellStyle name="Lien hypertexte visité" xfId="201" builtinId="9" hidden="1"/>
    <cellStyle name="Lien hypertexte visité" xfId="257" builtinId="9" hidden="1"/>
    <cellStyle name="Lien hypertexte visité" xfId="73" builtinId="9" hidden="1"/>
    <cellStyle name="Lien hypertexte visité" xfId="17" builtinId="9" hidden="1"/>
    <cellStyle name="Lien hypertexte visité" xfId="177" builtinId="9" hidden="1"/>
    <cellStyle name="Lien hypertexte visité" xfId="305" builtinId="9" hidden="1"/>
    <cellStyle name="Lien hypertexte visité" xfId="317" builtinId="9" hidden="1"/>
    <cellStyle name="Lien hypertexte visité" xfId="365" builtinId="9" hidden="1"/>
    <cellStyle name="Lien hypertexte visité" xfId="415" builtinId="9" hidden="1"/>
    <cellStyle name="Lien hypertexte visité" xfId="431" builtinId="9" hidden="1"/>
    <cellStyle name="Lien hypertexte visité" xfId="279" builtinId="9" hidden="1"/>
    <cellStyle name="Lien hypertexte visité" xfId="231" builtinId="9" hidden="1"/>
    <cellStyle name="Lien hypertexte visité" xfId="199" builtinId="9" hidden="1"/>
    <cellStyle name="Lien hypertexte visité" xfId="219" builtinId="9" hidden="1"/>
    <cellStyle name="Lien hypertexte visité" xfId="245" builtinId="9" hidden="1"/>
    <cellStyle name="Lien hypertexte visité" xfId="229" builtinId="9" hidden="1"/>
    <cellStyle name="Lien hypertexte visité" xfId="309" builtinId="9" hidden="1"/>
    <cellStyle name="Lien hypertexte visité" xfId="293" builtinId="9" hidden="1"/>
    <cellStyle name="Lien hypertexte visité" xfId="277" builtinId="9" hidden="1"/>
    <cellStyle name="Lien hypertexte visité" xfId="401" builtinId="9" hidden="1"/>
    <cellStyle name="Lien hypertexte visité" xfId="465" builtinId="9" hidden="1"/>
    <cellStyle name="Lien hypertexte visité" xfId="497" builtinId="9" hidden="1"/>
    <cellStyle name="Lien hypertexte visité" xfId="527" builtinId="9" hidden="1"/>
    <cellStyle name="Lien hypertexte visité" xfId="507" builtinId="9" hidden="1"/>
    <cellStyle name="Lien hypertexte visité" xfId="485" builtinId="9" hidden="1"/>
    <cellStyle name="Lien hypertexte visité" xfId="463" builtinId="9" hidden="1"/>
    <cellStyle name="Lien hypertexte visité" xfId="311" builtinId="9" hidden="1"/>
    <cellStyle name="Lien hypertexte visité" xfId="315" builtinId="9" hidden="1"/>
    <cellStyle name="Lien hypertexte visité" xfId="319" builtinId="9" hidden="1"/>
    <cellStyle name="Lien hypertexte visité" xfId="323" builtinId="9" hidden="1"/>
    <cellStyle name="Lien hypertexte visité" xfId="327" builtinId="9" hidden="1"/>
    <cellStyle name="Lien hypertexte visité" xfId="335" builtinId="9" hidden="1"/>
    <cellStyle name="Lien hypertexte visité" xfId="339" builtinId="9" hidden="1"/>
    <cellStyle name="Lien hypertexte visité" xfId="343" builtinId="9" hidden="1"/>
    <cellStyle name="Lien hypertexte visité" xfId="349" builtinId="9" hidden="1"/>
    <cellStyle name="Lien hypertexte visité" xfId="351" builtinId="9" hidden="1"/>
    <cellStyle name="Lien hypertexte visité" xfId="357" builtinId="9" hidden="1"/>
    <cellStyle name="Lien hypertexte visité" xfId="359" builtinId="9" hidden="1"/>
    <cellStyle name="Lien hypertexte visité" xfId="371" builtinId="9" hidden="1"/>
    <cellStyle name="Lien hypertexte visité" xfId="373" builtinId="9" hidden="1"/>
    <cellStyle name="Lien hypertexte visité" xfId="375" builtinId="9" hidden="1"/>
    <cellStyle name="Lien hypertexte visité" xfId="381" builtinId="9" hidden="1"/>
    <cellStyle name="Lien hypertexte visité" xfId="383" builtinId="9" hidden="1"/>
    <cellStyle name="Lien hypertexte visité" xfId="387" builtinId="9" hidden="1"/>
    <cellStyle name="Lien hypertexte visité" xfId="395" builtinId="9" hidden="1"/>
    <cellStyle name="Lien hypertexte visité" xfId="399" builtinId="9" hidden="1"/>
    <cellStyle name="Lien hypertexte visité" xfId="405" builtinId="9" hidden="1"/>
    <cellStyle name="Lien hypertexte visité" xfId="407" builtinId="9" hidden="1"/>
    <cellStyle name="Lien hypertexte visité" xfId="413" builtinId="9" hidden="1"/>
    <cellStyle name="Lien hypertexte visité" xfId="419" builtinId="9" hidden="1"/>
    <cellStyle name="Lien hypertexte visité" xfId="421" builtinId="9" hidden="1"/>
    <cellStyle name="Lien hypertexte visité" xfId="423" builtinId="9" hidden="1"/>
    <cellStyle name="Lien hypertexte visité" xfId="435" builtinId="9" hidden="1"/>
    <cellStyle name="Lien hypertexte visité" xfId="437" builtinId="9" hidden="1"/>
    <cellStyle name="Lien hypertexte visité" xfId="443" builtinId="9" hidden="1"/>
    <cellStyle name="Lien hypertexte visité" xfId="445" builtinId="9" hidden="1"/>
    <cellStyle name="Lien hypertexte visité" xfId="447" builtinId="9" hidden="1"/>
    <cellStyle name="Lien hypertexte visité" xfId="455" builtinId="9" hidden="1"/>
    <cellStyle name="Lien hypertexte visité" xfId="459" builtinId="9" hidden="1"/>
    <cellStyle name="Lien hypertexte visité" xfId="411" builtinId="9" hidden="1"/>
    <cellStyle name="Lien hypertexte visité" xfId="389" builtinId="9" hidden="1"/>
    <cellStyle name="Lien hypertexte visité" xfId="367" builtinId="9" hidden="1"/>
    <cellStyle name="Lien hypertexte visité" xfId="325" builtinId="9" hidden="1"/>
    <cellStyle name="Lien hypertexte visité" xfId="251" builtinId="9" hidden="1"/>
    <cellStyle name="Lien hypertexte visité" xfId="253" builtinId="9" hidden="1"/>
    <cellStyle name="Lien hypertexte visité" xfId="259" builtinId="9" hidden="1"/>
    <cellStyle name="Lien hypertexte visité" xfId="267" builtinId="9" hidden="1"/>
    <cellStyle name="Lien hypertexte visité" xfId="271" builtinId="9" hidden="1"/>
    <cellStyle name="Lien hypertexte visité" xfId="263" builtinId="9" hidden="1"/>
    <cellStyle name="Lien hypertexte visité" xfId="453" builtinId="9" hidden="1"/>
    <cellStyle name="Lien hypertexte visité" xfId="429" builtinId="9" hidden="1"/>
    <cellStyle name="Lien hypertexte visité" xfId="397" builtinId="9" hidden="1"/>
    <cellStyle name="Lien hypertexte visité" xfId="363" builtinId="9" hidden="1"/>
    <cellStyle name="Lien hypertexte visité" xfId="333" builtinId="9" hidden="1"/>
    <cellStyle name="Lien hypertexte visité" xfId="495" builtinId="9" hidden="1"/>
    <cellStyle name="Lien hypertexte visité" xfId="7" builtinId="9" hidden="1"/>
    <cellStyle name="Lien hypertexte visité" xfId="13" builtinId="9" hidden="1"/>
    <cellStyle name="Lien hypertexte visité" xfId="35" builtinId="9" hidden="1"/>
    <cellStyle name="Lien hypertexte visité" xfId="49" builtinId="9" hidden="1"/>
    <cellStyle name="Lien hypertexte visité" xfId="71" builtinId="9" hidden="1"/>
    <cellStyle name="Lien hypertexte visité" xfId="55" builtinId="9" hidden="1"/>
    <cellStyle name="Lien hypertexte visité" xfId="45" builtinId="9" hidden="1"/>
    <cellStyle name="Lien hypertexte visité" xfId="113" builtinId="9" hidden="1"/>
    <cellStyle name="Lien hypertexte visité" xfId="191" builtinId="9" hidden="1"/>
    <cellStyle name="Lien hypertexte visité" xfId="183" builtinId="9" hidden="1"/>
    <cellStyle name="Lien hypertexte visité" xfId="173" builtinId="9" hidden="1"/>
    <cellStyle name="Lien hypertexte visité" xfId="155" builtinId="9" hidden="1"/>
    <cellStyle name="Lien hypertexte visité" xfId="147" builtinId="9" hidden="1"/>
    <cellStyle name="Lien hypertexte visité" xfId="137" builtinId="9" hidden="1"/>
    <cellStyle name="Lien hypertexte visité" xfId="119" builtinId="9" hidden="1"/>
    <cellStyle name="Lien hypertexte visité" xfId="109" builtinId="9" hidden="1"/>
    <cellStyle name="Lien hypertexte visité" xfId="101" builtinId="9" hidden="1"/>
    <cellStyle name="Lien hypertexte visité" xfId="209" builtinId="9" hidden="1"/>
    <cellStyle name="Lien hypertexte visité" xfId="241" builtinId="9" hidden="1"/>
    <cellStyle name="Lien hypertexte visité" xfId="337" builtinId="9" hidden="1"/>
    <cellStyle name="Lien hypertexte visité" xfId="369" builtinId="9" hidden="1"/>
    <cellStyle name="Lien hypertexte visité" xfId="273" builtinId="9" hidden="1"/>
    <cellStyle name="Lien hypertexte visité" xfId="79" builtinId="9" hidden="1"/>
    <cellStyle name="Lien hypertexte visité" xfId="23" builtinId="9" hidden="1"/>
    <cellStyle name="Lien hypertexte visité" xfId="29" builtinId="9" hidden="1"/>
    <cellStyle name="Lien hypertexte visité" xfId="31" builtinId="9" hidden="1"/>
    <cellStyle name="Lien hypertexte visité" xfId="33" builtinId="9" hidden="1"/>
    <cellStyle name="Lien hypertexte visité" xfId="39" builtinId="9" hidden="1"/>
    <cellStyle name="Lien hypertexte visité" xfId="11" builtinId="9" hidden="1"/>
    <cellStyle name="Lien hypertexte visité" xfId="15" builtinId="9" hidden="1"/>
    <cellStyle name="Lien hypertexte visité" xfId="19" builtinId="9" hidden="1"/>
    <cellStyle name="Lien hypertexte visité" xfId="9" builtinId="9" hidden="1"/>
    <cellStyle name="Lien hypertexte visité" xfId="5" builtinId="9" hidden="1"/>
    <cellStyle name="Lien hypertexte visité" xfId="75" builtinId="9" hidden="1"/>
    <cellStyle name="Lien hypertexte visité" xfId="77" builtinId="9" hidden="1"/>
    <cellStyle name="Lien hypertexte visité" xfId="83" builtinId="9" hidden="1"/>
    <cellStyle name="Lien hypertexte visité" xfId="81" builtinId="9" hidden="1"/>
    <cellStyle name="Lien hypertexte visité" xfId="21" builtinId="9" hidden="1"/>
    <cellStyle name="Lien hypertexte visité" xfId="67" builtinId="9" hidden="1"/>
    <cellStyle name="Lien hypertexte visité" xfId="69" builtinId="9" hidden="1"/>
    <cellStyle name="Lien hypertexte visité" xfId="65" builtinId="9" hidden="1"/>
    <cellStyle name="Lien hypertexte visité" xfId="59" builtinId="9" hidden="1"/>
    <cellStyle name="Milliers [0]" xfId="528" builtinId="6"/>
    <cellStyle name="Milliers [0] 2" xfId="531" xr:uid="{17CC9B5E-AA60-47FB-8EC6-2CE72185A737}"/>
    <cellStyle name="Normal" xfId="0" builtinId="0"/>
    <cellStyle name="Normal 2" xfId="529" xr:uid="{66B8C0A0-0F2A-47F0-86A6-39C65FFA2AB1}"/>
    <cellStyle name="Pourcentage" xfId="1" builtinId="5"/>
    <cellStyle name="Pourcentage 2" xfId="530" xr:uid="{9C7E3ECB-2D39-4AFF-83B2-0F66238DF1BA}"/>
  </cellStyles>
  <dxfs count="1">
    <dxf>
      <font>
        <color rgb="FF9C0006"/>
      </font>
      <fill>
        <patternFill>
          <bgColor rgb="FFFFC7CE"/>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0</xdr:colOff>
      <xdr:row>1</xdr:row>
      <xdr:rowOff>0</xdr:rowOff>
    </xdr:from>
    <xdr:to>
      <xdr:col>8</xdr:col>
      <xdr:colOff>304800</xdr:colOff>
      <xdr:row>1</xdr:row>
      <xdr:rowOff>304800</xdr:rowOff>
    </xdr:to>
    <xdr:sp macro="" textlink="">
      <xdr:nvSpPr>
        <xdr:cNvPr id="1025" name="8ua9KcrqmKgcjM:" descr="ésultat de recherche d'images pour &quot;GIZ SÉNÉGAL&quot;">
          <a:extLst>
            <a:ext uri="{FF2B5EF4-FFF2-40B4-BE49-F238E27FC236}">
              <a16:creationId xmlns:a16="http://schemas.microsoft.com/office/drawing/2014/main" id="{00000000-0008-0000-0000-000001040000}"/>
            </a:ext>
          </a:extLst>
        </xdr:cNvPr>
        <xdr:cNvSpPr>
          <a:spLocks noChangeAspect="1" noChangeArrowheads="1"/>
        </xdr:cNvSpPr>
      </xdr:nvSpPr>
      <xdr:spPr bwMode="auto">
        <a:xfrm>
          <a:off x="11036300" y="190500"/>
          <a:ext cx="304800" cy="304800"/>
        </a:xfrm>
        <a:prstGeom prst="rect">
          <a:avLst/>
        </a:prstGeom>
        <a:noFill/>
        <a:extLst>
          <a:ext uri="{909E8E84-426E-40dd-AFC4-6F175D3DCCD1}">
            <a14:hiddenFill xmlns:a14="http://schemas.microsoft.com/office/drawing/2010/main" xmlns="">
              <a:solidFill>
                <a:srgbClr val="FFFFFF"/>
              </a:solidFill>
            </a14:hiddenFill>
          </a:ext>
        </a:extLst>
      </xdr:spPr>
      <xdr:txBody>
        <a:bodyPr rtlCol="0"/>
        <a:lstStyle/>
        <a:p>
          <a:pPr algn="ctr"/>
          <a:endParaRPr lang="fr-FR"/>
        </a:p>
      </xdr:txBody>
    </xdr:sp>
    <xdr:clientData/>
  </xdr:twoCellAnchor>
  <xdr:twoCellAnchor editAs="oneCell">
    <xdr:from>
      <xdr:col>8</xdr:col>
      <xdr:colOff>0</xdr:colOff>
      <xdr:row>1</xdr:row>
      <xdr:rowOff>0</xdr:rowOff>
    </xdr:from>
    <xdr:to>
      <xdr:col>8</xdr:col>
      <xdr:colOff>304800</xdr:colOff>
      <xdr:row>1</xdr:row>
      <xdr:rowOff>304800</xdr:rowOff>
    </xdr:to>
    <xdr:sp macro="" textlink="">
      <xdr:nvSpPr>
        <xdr:cNvPr id="1026" name="AutoShape 2" descr="ésultat de recherche d'images pour &quot;GIZ SÉNÉGAL&quot;">
          <a:extLst>
            <a:ext uri="{FF2B5EF4-FFF2-40B4-BE49-F238E27FC236}">
              <a16:creationId xmlns:a16="http://schemas.microsoft.com/office/drawing/2014/main" id="{00000000-0008-0000-0000-000002040000}"/>
            </a:ext>
          </a:extLst>
        </xdr:cNvPr>
        <xdr:cNvSpPr>
          <a:spLocks noChangeAspect="1" noChangeArrowheads="1"/>
        </xdr:cNvSpPr>
      </xdr:nvSpPr>
      <xdr:spPr bwMode="auto">
        <a:xfrm>
          <a:off x="11036300" y="190500"/>
          <a:ext cx="304800" cy="304800"/>
        </a:xfrm>
        <a:prstGeom prst="rect">
          <a:avLst/>
        </a:prstGeom>
        <a:noFill/>
        <a:extLst>
          <a:ext uri="{909E8E84-426E-40dd-AFC4-6F175D3DCCD1}">
            <a14:hiddenFill xmlns:a14="http://schemas.microsoft.com/office/drawing/2010/main" xmlns="">
              <a:solidFill>
                <a:srgbClr val="FFFFFF"/>
              </a:solidFill>
            </a14:hiddenFill>
          </a:ext>
        </a:extLst>
      </xdr:spPr>
      <xdr:txBody>
        <a:bodyPr rtlCol="0"/>
        <a:lstStyle/>
        <a:p>
          <a:pPr algn="ctr"/>
          <a:endParaRPr lang="fr-FR"/>
        </a:p>
      </xdr:txBody>
    </xdr:sp>
    <xdr:clientData/>
  </xdr:twoCellAnchor>
  <xdr:twoCellAnchor editAs="oneCell">
    <xdr:from>
      <xdr:col>9</xdr:col>
      <xdr:colOff>254000</xdr:colOff>
      <xdr:row>1</xdr:row>
      <xdr:rowOff>101600</xdr:rowOff>
    </xdr:from>
    <xdr:to>
      <xdr:col>14</xdr:col>
      <xdr:colOff>428626</xdr:colOff>
      <xdr:row>10</xdr:row>
      <xdr:rowOff>87084</xdr:rowOff>
    </xdr:to>
    <xdr:pic>
      <xdr:nvPicPr>
        <xdr:cNvPr id="5" name="Imag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stretch>
          <a:fillRect/>
        </a:stretch>
      </xdr:blipFill>
      <xdr:spPr>
        <a:xfrm>
          <a:off x="13550900" y="292100"/>
          <a:ext cx="5537200" cy="2106384"/>
        </a:xfrm>
        <a:prstGeom prst="rect">
          <a:avLst/>
        </a:prstGeom>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288"/>
  <sheetViews>
    <sheetView tabSelected="1" zoomScale="80" zoomScaleNormal="80" workbookViewId="0">
      <selection activeCell="E9" sqref="E9"/>
    </sheetView>
  </sheetViews>
  <sheetFormatPr baseColWidth="10" defaultColWidth="11" defaultRowHeight="15.5" x14ac:dyDescent="0.35"/>
  <cols>
    <col min="1" max="1" width="6.83203125" style="1" customWidth="1"/>
    <col min="2" max="2" width="36.58203125" customWidth="1"/>
    <col min="3" max="3" width="17.5" customWidth="1"/>
    <col min="4" max="4" width="18.75" customWidth="1"/>
    <col min="5" max="5" width="18.08203125" customWidth="1"/>
    <col min="6" max="6" width="18" customWidth="1"/>
    <col min="7" max="7" width="19.5" customWidth="1"/>
    <col min="8" max="8" width="25.25" customWidth="1"/>
    <col min="9" max="9" width="19.83203125" customWidth="1"/>
    <col min="10" max="10" width="15.58203125" style="1" customWidth="1"/>
    <col min="11" max="11" width="14.33203125" style="1" customWidth="1"/>
    <col min="12" max="12" width="14.08203125" style="1" customWidth="1"/>
    <col min="13" max="13" width="15.33203125" style="1" customWidth="1"/>
    <col min="14" max="14" width="10.83203125" style="1"/>
    <col min="15" max="15" width="14" style="1" customWidth="1"/>
    <col min="16" max="16" width="10.83203125" style="1"/>
    <col min="17" max="17" width="16" customWidth="1"/>
    <col min="18" max="18" width="16.58203125" customWidth="1"/>
    <col min="19" max="19" width="14.83203125" customWidth="1"/>
    <col min="21" max="21" width="16.5" customWidth="1"/>
    <col min="22" max="22" width="13.5" customWidth="1"/>
    <col min="23" max="23" width="11.33203125" customWidth="1"/>
    <col min="24" max="35" width="10.83203125" style="1"/>
  </cols>
  <sheetData>
    <row r="1" spans="2:23" s="1" customFormat="1" x14ac:dyDescent="0.35"/>
    <row r="2" spans="2:23" s="1" customFormat="1" ht="31" x14ac:dyDescent="0.7">
      <c r="B2" s="129" t="s">
        <v>0</v>
      </c>
      <c r="I2"/>
    </row>
    <row r="3" spans="2:23" s="1" customFormat="1" ht="21" x14ac:dyDescent="0.5">
      <c r="B3" s="130" t="s">
        <v>1</v>
      </c>
      <c r="C3" s="128"/>
      <c r="D3" s="128"/>
      <c r="E3" s="128"/>
      <c r="F3" s="128"/>
      <c r="G3" s="128"/>
      <c r="H3" s="128"/>
      <c r="I3" s="128"/>
    </row>
    <row r="4" spans="2:23" s="1" customFormat="1" ht="16" thickBot="1" x14ac:dyDescent="0.4"/>
    <row r="5" spans="2:23" s="1" customFormat="1" ht="19" thickBot="1" x14ac:dyDescent="0.5">
      <c r="B5" s="225" t="s">
        <v>353</v>
      </c>
    </row>
    <row r="6" spans="2:23" s="1" customFormat="1" ht="18.5" x14ac:dyDescent="0.45">
      <c r="B6" s="226" t="s">
        <v>352</v>
      </c>
    </row>
    <row r="7" spans="2:23" s="1" customFormat="1" ht="18.5" x14ac:dyDescent="0.45">
      <c r="B7" s="227" t="s">
        <v>353</v>
      </c>
    </row>
    <row r="8" spans="2:23" s="1" customFormat="1" x14ac:dyDescent="0.35"/>
    <row r="9" spans="2:23" s="1" customFormat="1" ht="16" thickBot="1" x14ac:dyDescent="0.4"/>
    <row r="10" spans="2:23" s="1" customFormat="1" ht="16" thickBot="1" x14ac:dyDescent="0.4">
      <c r="B10" s="2" t="s">
        <v>2</v>
      </c>
      <c r="C10" s="3"/>
    </row>
    <row r="11" spans="2:23" s="1" customFormat="1" ht="16" thickBot="1" x14ac:dyDescent="0.4">
      <c r="B11" s="2" t="s">
        <v>3</v>
      </c>
      <c r="C11" s="4"/>
    </row>
    <row r="12" spans="2:23" s="1" customFormat="1" ht="16" thickBot="1" x14ac:dyDescent="0.4">
      <c r="B12" s="2" t="s">
        <v>4</v>
      </c>
      <c r="C12" s="5"/>
    </row>
    <row r="13" spans="2:23" s="1" customFormat="1" ht="16" thickBot="1" x14ac:dyDescent="0.4">
      <c r="B13" s="2" t="s">
        <v>5</v>
      </c>
      <c r="C13" s="6"/>
    </row>
    <row r="14" spans="2:23" s="1" customFormat="1" x14ac:dyDescent="0.35"/>
    <row r="15" spans="2:23" ht="21" x14ac:dyDescent="0.5">
      <c r="B15" s="7" t="s">
        <v>6</v>
      </c>
      <c r="C15" s="8"/>
      <c r="D15" s="8"/>
      <c r="E15" s="8"/>
      <c r="F15" s="8"/>
      <c r="G15" s="8"/>
      <c r="H15" s="8"/>
      <c r="I15" s="8"/>
      <c r="J15" s="8"/>
      <c r="K15" s="8"/>
      <c r="L15" s="8"/>
      <c r="M15" s="8"/>
      <c r="N15" s="8"/>
      <c r="O15" s="8"/>
      <c r="Q15" s="1"/>
      <c r="R15" s="1"/>
      <c r="S15" s="1"/>
      <c r="T15" s="1"/>
      <c r="U15" s="1"/>
      <c r="V15" s="1"/>
      <c r="W15" s="1"/>
    </row>
    <row r="16" spans="2:23" s="1" customFormat="1" ht="16" thickBot="1" x14ac:dyDescent="0.4"/>
    <row r="17" spans="2:35" ht="19" customHeight="1" thickBot="1" x14ac:dyDescent="0.4">
      <c r="B17" s="159" t="s">
        <v>7</v>
      </c>
      <c r="C17" s="264" t="s">
        <v>8</v>
      </c>
      <c r="D17" s="266" t="s">
        <v>9</v>
      </c>
      <c r="E17" s="267"/>
      <c r="F17" s="264" t="s">
        <v>10</v>
      </c>
      <c r="G17" s="264" t="s">
        <v>11</v>
      </c>
      <c r="H17" s="264" t="s">
        <v>12</v>
      </c>
      <c r="I17" s="266" t="s">
        <v>13</v>
      </c>
      <c r="J17" s="267"/>
      <c r="K17" s="264" t="s">
        <v>14</v>
      </c>
      <c r="Q17" s="1"/>
      <c r="R17" s="1"/>
      <c r="S17" s="1"/>
      <c r="T17" s="1"/>
      <c r="U17" s="1"/>
      <c r="V17" s="1"/>
      <c r="W17" s="1"/>
      <c r="AH17"/>
      <c r="AI17"/>
    </row>
    <row r="18" spans="2:35" ht="16" thickBot="1" x14ac:dyDescent="0.4">
      <c r="B18" s="1"/>
      <c r="C18" s="265"/>
      <c r="D18" s="9" t="s">
        <v>15</v>
      </c>
      <c r="E18" s="9" t="s">
        <v>16</v>
      </c>
      <c r="F18" s="265"/>
      <c r="G18" s="265"/>
      <c r="H18" s="265"/>
      <c r="I18" s="9" t="s">
        <v>17</v>
      </c>
      <c r="J18" s="9" t="s">
        <v>18</v>
      </c>
      <c r="K18" s="265"/>
      <c r="Q18" s="1"/>
      <c r="R18" s="1"/>
      <c r="S18" s="1"/>
      <c r="T18" s="1"/>
      <c r="U18" s="1"/>
      <c r="V18" s="1"/>
      <c r="W18" s="1"/>
      <c r="AH18"/>
      <c r="AI18"/>
    </row>
    <row r="19" spans="2:35" ht="16.5" x14ac:dyDescent="0.35">
      <c r="B19" s="10" t="s">
        <v>19</v>
      </c>
      <c r="C19" s="204">
        <f>IF(F81="Oui",G26*60/H26,G27*60/H27)</f>
        <v>10</v>
      </c>
      <c r="D19" s="205">
        <v>0.5</v>
      </c>
      <c r="E19" s="117">
        <v>0.5</v>
      </c>
      <c r="F19" s="120">
        <v>1967871</v>
      </c>
      <c r="G19" s="164">
        <f>IF(F81="Oui",F26*I19*60/H26,F27*I19*60/H27)+1.2</f>
        <v>3.42</v>
      </c>
      <c r="H19" s="118">
        <f>G19/K19</f>
        <v>6.2181818181818178</v>
      </c>
      <c r="I19" s="205">
        <f>F71*F72</f>
        <v>3</v>
      </c>
      <c r="J19" s="165">
        <v>320</v>
      </c>
      <c r="K19" s="204">
        <v>0.55000000000000004</v>
      </c>
      <c r="Q19" s="1"/>
      <c r="R19" s="1"/>
      <c r="S19" s="1"/>
      <c r="T19" s="1"/>
      <c r="U19" s="1"/>
      <c r="V19" s="1"/>
      <c r="W19" s="1"/>
      <c r="AH19"/>
      <c r="AI19"/>
    </row>
    <row r="20" spans="2:35" ht="16.5" x14ac:dyDescent="0.35">
      <c r="B20" s="10" t="s">
        <v>20</v>
      </c>
      <c r="C20" s="204">
        <f>G28*60/H28</f>
        <v>2.6666666666666665</v>
      </c>
      <c r="D20" s="205">
        <v>0.2</v>
      </c>
      <c r="E20" s="117">
        <v>0.2</v>
      </c>
      <c r="F20" s="120">
        <v>1967871</v>
      </c>
      <c r="G20" s="164">
        <f>(F28*I20*60/H28)+1.2</f>
        <v>2.5359999999999996</v>
      </c>
      <c r="H20" s="118">
        <f>G20/K20</f>
        <v>4.6109090909090895</v>
      </c>
      <c r="I20" s="205">
        <f>F71*G72</f>
        <v>3</v>
      </c>
      <c r="J20" s="165">
        <v>320</v>
      </c>
      <c r="K20" s="204">
        <v>0.55000000000000004</v>
      </c>
      <c r="Q20" s="1"/>
      <c r="R20" s="1"/>
      <c r="S20" s="1"/>
      <c r="T20" s="1"/>
      <c r="U20" s="1"/>
      <c r="V20" s="1"/>
      <c r="W20" s="1"/>
      <c r="AH20"/>
      <c r="AI20"/>
    </row>
    <row r="21" spans="2:35" ht="17.149999999999999" customHeight="1" thickBot="1" x14ac:dyDescent="0.4">
      <c r="B21" s="11" t="s">
        <v>21</v>
      </c>
      <c r="C21" s="12"/>
      <c r="D21" s="12"/>
      <c r="E21" s="12"/>
      <c r="F21" s="119"/>
      <c r="G21" s="164"/>
      <c r="H21" s="118"/>
      <c r="I21" s="12"/>
      <c r="J21" s="12"/>
      <c r="K21" s="12"/>
      <c r="Q21" s="1"/>
      <c r="R21" s="1"/>
      <c r="S21" s="1"/>
      <c r="T21" s="1"/>
      <c r="U21" s="1"/>
      <c r="V21" s="1"/>
      <c r="W21" s="1"/>
      <c r="AH21"/>
      <c r="AI21"/>
    </row>
    <row r="22" spans="2:35" ht="17.149999999999999" customHeight="1" thickBot="1" x14ac:dyDescent="0.4">
      <c r="B22" s="10" t="s">
        <v>22</v>
      </c>
      <c r="C22" s="117">
        <v>50</v>
      </c>
      <c r="D22" s="117"/>
      <c r="E22" s="117">
        <v>2</v>
      </c>
      <c r="F22" s="120">
        <v>500000</v>
      </c>
      <c r="G22" s="164">
        <f>I22*E22</f>
        <v>2</v>
      </c>
      <c r="H22" s="117">
        <f>I22*E22/K22</f>
        <v>3.3333333333333335</v>
      </c>
      <c r="I22" s="117">
        <f>(C19*I19)/(C22*K22)</f>
        <v>1</v>
      </c>
      <c r="J22" s="117"/>
      <c r="K22" s="117">
        <v>0.6</v>
      </c>
      <c r="Q22" s="1"/>
      <c r="R22" s="1"/>
      <c r="S22" s="1"/>
      <c r="T22" s="1"/>
      <c r="U22" s="1"/>
      <c r="V22" s="1"/>
      <c r="W22" s="1"/>
      <c r="AH22"/>
      <c r="AI22"/>
    </row>
    <row r="23" spans="2:35" s="1" customFormat="1" ht="16" thickBot="1" x14ac:dyDescent="0.4"/>
    <row r="24" spans="2:35" s="1" customFormat="1" ht="19" thickBot="1" x14ac:dyDescent="0.4">
      <c r="B24" s="159" t="s">
        <v>23</v>
      </c>
      <c r="C24" s="264" t="s">
        <v>24</v>
      </c>
      <c r="D24" s="264" t="s">
        <v>25</v>
      </c>
      <c r="E24" s="264" t="s">
        <v>26</v>
      </c>
      <c r="F24" s="264" t="s">
        <v>27</v>
      </c>
      <c r="G24" s="264" t="s">
        <v>28</v>
      </c>
      <c r="H24" s="264" t="s">
        <v>29</v>
      </c>
      <c r="I24" s="264" t="s">
        <v>30</v>
      </c>
      <c r="J24" s="274" t="s">
        <v>31</v>
      </c>
      <c r="K24" s="275"/>
      <c r="L24" s="264" t="s">
        <v>32</v>
      </c>
    </row>
    <row r="25" spans="2:35" s="1" customFormat="1" ht="16" thickBot="1" x14ac:dyDescent="0.4">
      <c r="C25" s="265"/>
      <c r="D25" s="265"/>
      <c r="E25" s="265"/>
      <c r="F25" s="265"/>
      <c r="G25" s="265"/>
      <c r="H25" s="265"/>
      <c r="I25" s="265"/>
      <c r="J25" s="192" t="s">
        <v>23</v>
      </c>
      <c r="K25" s="193" t="s">
        <v>33</v>
      </c>
      <c r="L25" s="265"/>
    </row>
    <row r="26" spans="2:35" s="1" customFormat="1" ht="17" thickBot="1" x14ac:dyDescent="0.4">
      <c r="B26" s="171" t="s">
        <v>34</v>
      </c>
      <c r="C26" s="214">
        <v>50</v>
      </c>
      <c r="D26" s="191" t="s">
        <v>35</v>
      </c>
      <c r="E26" s="191" t="s">
        <v>36</v>
      </c>
      <c r="F26" s="191">
        <v>7.3999999999999996E-2</v>
      </c>
      <c r="G26" s="214">
        <v>1</v>
      </c>
      <c r="H26" s="214">
        <v>6</v>
      </c>
      <c r="I26" s="191">
        <v>0.91600000000000004</v>
      </c>
      <c r="J26" s="212">
        <v>0.09</v>
      </c>
      <c r="K26" s="213">
        <f>100%-J26</f>
        <v>0.91</v>
      </c>
      <c r="L26" s="191">
        <f>I26*J26</f>
        <v>8.2439999999999999E-2</v>
      </c>
    </row>
    <row r="27" spans="2:35" s="1" customFormat="1" ht="17" thickBot="1" x14ac:dyDescent="0.4">
      <c r="B27" s="171" t="s">
        <v>34</v>
      </c>
      <c r="C27" s="214">
        <v>50</v>
      </c>
      <c r="D27" s="191" t="s">
        <v>35</v>
      </c>
      <c r="E27" s="191" t="s">
        <v>37</v>
      </c>
      <c r="F27" s="191">
        <v>0.11</v>
      </c>
      <c r="G27" s="214">
        <v>1</v>
      </c>
      <c r="H27" s="214">
        <v>10</v>
      </c>
      <c r="I27" s="191">
        <v>0.91600000000000004</v>
      </c>
      <c r="J27" s="212">
        <v>0.05</v>
      </c>
      <c r="K27" s="213">
        <f>100%-J27</f>
        <v>0.95</v>
      </c>
      <c r="L27" s="191">
        <f>I27*J27</f>
        <v>4.5800000000000007E-2</v>
      </c>
    </row>
    <row r="28" spans="2:35" s="1" customFormat="1" ht="22.5" customHeight="1" thickBot="1" x14ac:dyDescent="0.4">
      <c r="B28" s="171" t="s">
        <v>38</v>
      </c>
      <c r="C28" s="214">
        <v>50</v>
      </c>
      <c r="D28" s="214">
        <v>16</v>
      </c>
      <c r="E28" s="191" t="s">
        <v>37</v>
      </c>
      <c r="F28" s="191">
        <v>0.33400000000000002</v>
      </c>
      <c r="G28" s="214">
        <v>2</v>
      </c>
      <c r="H28" s="214">
        <v>45</v>
      </c>
      <c r="I28" s="191">
        <v>0.90800000000000003</v>
      </c>
      <c r="J28" s="212">
        <v>0.25</v>
      </c>
      <c r="K28" s="213">
        <f>100%-J28</f>
        <v>0.75</v>
      </c>
      <c r="L28" s="191">
        <f>I28*J28</f>
        <v>0.22700000000000001</v>
      </c>
    </row>
    <row r="29" spans="2:35" s="1" customFormat="1" x14ac:dyDescent="0.35"/>
    <row r="30" spans="2:35" s="1" customFormat="1" ht="16" hidden="1" thickBot="1" x14ac:dyDescent="0.4">
      <c r="B30" s="14" t="s">
        <v>361</v>
      </c>
    </row>
    <row r="31" spans="2:35" s="1" customFormat="1" ht="16" hidden="1" thickBot="1" x14ac:dyDescent="0.4">
      <c r="B31" s="229" t="s">
        <v>354</v>
      </c>
      <c r="C31" s="229" t="s">
        <v>356</v>
      </c>
      <c r="D31" s="229" t="s">
        <v>355</v>
      </c>
    </row>
    <row r="32" spans="2:35" s="1" customFormat="1" ht="16" hidden="1" thickBot="1" x14ac:dyDescent="0.4">
      <c r="B32" s="228" t="s">
        <v>22</v>
      </c>
      <c r="C32" s="230">
        <v>1</v>
      </c>
      <c r="D32" s="230">
        <v>750000</v>
      </c>
    </row>
    <row r="33" spans="2:13" s="1" customFormat="1" ht="16" hidden="1" thickBot="1" x14ac:dyDescent="0.4">
      <c r="B33" s="228" t="s">
        <v>179</v>
      </c>
      <c r="C33" s="230">
        <v>1</v>
      </c>
      <c r="D33" s="230"/>
    </row>
    <row r="34" spans="2:13" s="1" customFormat="1" ht="16" hidden="1" thickBot="1" x14ac:dyDescent="0.4">
      <c r="B34" s="228" t="s">
        <v>180</v>
      </c>
      <c r="C34" s="230">
        <v>1</v>
      </c>
      <c r="D34" s="230">
        <v>3800000</v>
      </c>
    </row>
    <row r="35" spans="2:13" s="1" customFormat="1" ht="16" hidden="1" thickBot="1" x14ac:dyDescent="0.4">
      <c r="B35" s="228" t="s">
        <v>186</v>
      </c>
      <c r="C35" s="230">
        <v>1</v>
      </c>
      <c r="D35" s="230">
        <v>147000</v>
      </c>
    </row>
    <row r="36" spans="2:13" s="1" customFormat="1" ht="16" hidden="1" thickBot="1" x14ac:dyDescent="0.4">
      <c r="B36" s="228" t="s">
        <v>357</v>
      </c>
      <c r="C36" s="230">
        <v>1</v>
      </c>
      <c r="D36" s="230">
        <v>140000</v>
      </c>
    </row>
    <row r="37" spans="2:13" s="1" customFormat="1" ht="16" hidden="1" thickBot="1" x14ac:dyDescent="0.4">
      <c r="B37" s="228" t="s">
        <v>359</v>
      </c>
      <c r="C37" s="230">
        <v>2</v>
      </c>
      <c r="D37" s="230">
        <v>100000</v>
      </c>
    </row>
    <row r="38" spans="2:13" s="1" customFormat="1" ht="16" hidden="1" thickBot="1" x14ac:dyDescent="0.4">
      <c r="B38" s="228" t="s">
        <v>358</v>
      </c>
      <c r="C38" s="228">
        <v>1</v>
      </c>
      <c r="D38" s="230">
        <v>1000000</v>
      </c>
    </row>
    <row r="39" spans="2:13" s="1" customFormat="1" ht="16" hidden="1" thickBot="1" x14ac:dyDescent="0.4">
      <c r="B39" s="228" t="s">
        <v>193</v>
      </c>
      <c r="C39" s="228">
        <v>1</v>
      </c>
      <c r="D39" s="230">
        <v>1000000</v>
      </c>
    </row>
    <row r="40" spans="2:13" s="1" customFormat="1" ht="16" hidden="1" thickBot="1" x14ac:dyDescent="0.4">
      <c r="B40" s="228" t="s">
        <v>195</v>
      </c>
      <c r="C40" s="228">
        <v>1</v>
      </c>
      <c r="D40" s="230">
        <v>750000</v>
      </c>
    </row>
    <row r="41" spans="2:13" s="1" customFormat="1" ht="16" hidden="1" thickBot="1" x14ac:dyDescent="0.4">
      <c r="B41" s="228" t="s">
        <v>360</v>
      </c>
      <c r="C41" s="228">
        <v>18</v>
      </c>
      <c r="D41" s="230">
        <v>35000</v>
      </c>
    </row>
    <row r="42" spans="2:13" s="1" customFormat="1" ht="16" hidden="1" thickBot="1" x14ac:dyDescent="0.4">
      <c r="B42" s="228" t="s">
        <v>188</v>
      </c>
      <c r="C42" s="228">
        <v>1</v>
      </c>
      <c r="D42" s="230">
        <v>240000</v>
      </c>
    </row>
    <row r="43" spans="2:13" s="1" customFormat="1" ht="16" hidden="1" thickBot="1" x14ac:dyDescent="0.4">
      <c r="B43" s="228" t="s">
        <v>189</v>
      </c>
      <c r="C43" s="228">
        <v>0</v>
      </c>
      <c r="D43" s="230">
        <v>0</v>
      </c>
    </row>
    <row r="44" spans="2:13" s="1" customFormat="1" ht="16" hidden="1" thickBot="1" x14ac:dyDescent="0.4">
      <c r="B44" s="228" t="s">
        <v>190</v>
      </c>
      <c r="C44" s="228">
        <v>0</v>
      </c>
      <c r="D44" s="230">
        <v>0</v>
      </c>
    </row>
    <row r="45" spans="2:13" s="1" customFormat="1" ht="16" hidden="1" thickBot="1" x14ac:dyDescent="0.4">
      <c r="B45" s="228" t="s">
        <v>194</v>
      </c>
      <c r="C45" s="228">
        <v>0</v>
      </c>
      <c r="D45" s="230">
        <v>0</v>
      </c>
    </row>
    <row r="46" spans="2:13" s="1" customFormat="1" ht="16" thickBot="1" x14ac:dyDescent="0.4">
      <c r="B46" s="132"/>
      <c r="D46" s="142"/>
    </row>
    <row r="47" spans="2:13" s="1" customFormat="1" ht="30.5" thickBot="1" x14ac:dyDescent="0.5">
      <c r="B47" s="161" t="s">
        <v>39</v>
      </c>
      <c r="C47" s="231" t="s">
        <v>9</v>
      </c>
      <c r="D47" s="231" t="s">
        <v>10</v>
      </c>
      <c r="E47" s="231" t="s">
        <v>40</v>
      </c>
      <c r="F47" s="231" t="s">
        <v>41</v>
      </c>
      <c r="H47" s="161" t="s">
        <v>42</v>
      </c>
      <c r="I47" s="162" t="s">
        <v>43</v>
      </c>
      <c r="J47" s="162" t="s">
        <v>10</v>
      </c>
      <c r="K47" s="162" t="s">
        <v>41</v>
      </c>
      <c r="L47" s="162" t="s">
        <v>44</v>
      </c>
      <c r="M47" s="196" t="s">
        <v>45</v>
      </c>
    </row>
    <row r="48" spans="2:13" s="1" customFormat="1" ht="17.149999999999999" customHeight="1" thickBot="1" x14ac:dyDescent="0.4">
      <c r="B48" s="228" t="s">
        <v>370</v>
      </c>
      <c r="C48" s="237">
        <v>0.27</v>
      </c>
      <c r="D48" s="238">
        <v>74750</v>
      </c>
      <c r="E48" s="164">
        <v>0.6</v>
      </c>
      <c r="F48" s="164" t="s">
        <v>47</v>
      </c>
      <c r="H48" s="171" t="s">
        <v>48</v>
      </c>
      <c r="I48" s="165">
        <v>220</v>
      </c>
      <c r="J48" s="244">
        <v>400000</v>
      </c>
      <c r="K48" s="120">
        <v>12</v>
      </c>
      <c r="L48" s="120">
        <v>10</v>
      </c>
    </row>
    <row r="49" spans="2:15" s="1" customFormat="1" ht="17" thickBot="1" x14ac:dyDescent="0.4">
      <c r="B49" s="236" t="s">
        <v>46</v>
      </c>
      <c r="C49" s="163">
        <v>0.27500000000000002</v>
      </c>
      <c r="D49" s="120">
        <v>80000</v>
      </c>
      <c r="E49" s="164">
        <v>0.6</v>
      </c>
      <c r="F49" s="164" t="s">
        <v>47</v>
      </c>
      <c r="H49" s="11" t="s">
        <v>364</v>
      </c>
      <c r="I49" s="242">
        <v>265</v>
      </c>
      <c r="J49" s="240">
        <v>327957</v>
      </c>
      <c r="K49" s="240">
        <v>12</v>
      </c>
      <c r="L49" s="120">
        <v>10</v>
      </c>
    </row>
    <row r="50" spans="2:15" s="1" customFormat="1" ht="16" customHeight="1" thickBot="1" x14ac:dyDescent="0.4">
      <c r="B50" s="11" t="s">
        <v>49</v>
      </c>
      <c r="C50" s="239">
        <v>0.375</v>
      </c>
      <c r="D50" s="240">
        <v>78500</v>
      </c>
      <c r="E50" s="241">
        <v>0.6</v>
      </c>
      <c r="F50" s="241" t="s">
        <v>47</v>
      </c>
      <c r="H50" s="11" t="s">
        <v>363</v>
      </c>
      <c r="I50" s="243">
        <v>1220</v>
      </c>
      <c r="J50" s="238">
        <v>194400</v>
      </c>
      <c r="K50" s="238">
        <v>2</v>
      </c>
      <c r="L50" s="235">
        <v>7</v>
      </c>
    </row>
    <row r="51" spans="2:15" s="1" customFormat="1" x14ac:dyDescent="0.35">
      <c r="B51" s="203"/>
      <c r="C51" s="2"/>
      <c r="H51" s="179" t="s">
        <v>50</v>
      </c>
      <c r="I51" s="178">
        <f>IF(J51&lt;0.5,12,IF(AND(J51&gt;=0.5,J51&lt;2),24,IF(J51&gt;=2,48)))</f>
        <v>48</v>
      </c>
      <c r="J51" s="234">
        <f>F98*INDEX(C:C,MATCH(F76,B:B,0))</f>
        <v>4.95</v>
      </c>
    </row>
    <row r="52" spans="2:15" s="1" customFormat="1" ht="16" thickBot="1" x14ac:dyDescent="0.4"/>
    <row r="53" spans="2:15" s="1" customFormat="1" ht="30.5" thickBot="1" x14ac:dyDescent="0.5">
      <c r="B53" s="161" t="s">
        <v>51</v>
      </c>
      <c r="C53" s="216" t="s">
        <v>52</v>
      </c>
      <c r="D53" s="162" t="s">
        <v>10</v>
      </c>
      <c r="H53" s="161" t="s">
        <v>53</v>
      </c>
      <c r="I53" s="216" t="s">
        <v>367</v>
      </c>
      <c r="J53" s="162" t="s">
        <v>10</v>
      </c>
      <c r="K53" s="162" t="s">
        <v>41</v>
      </c>
    </row>
    <row r="54" spans="2:15" s="1" customFormat="1" ht="33.5" thickBot="1" x14ac:dyDescent="0.4">
      <c r="B54" s="10" t="s">
        <v>54</v>
      </c>
      <c r="C54" s="165">
        <v>3</v>
      </c>
      <c r="D54" s="120">
        <v>450000</v>
      </c>
      <c r="H54" s="171" t="s">
        <v>55</v>
      </c>
      <c r="I54" s="245" t="s">
        <v>366</v>
      </c>
      <c r="J54" s="246">
        <v>220000</v>
      </c>
      <c r="K54" s="246" t="s">
        <v>56</v>
      </c>
    </row>
    <row r="55" spans="2:15" s="1" customFormat="1" ht="17" thickBot="1" x14ac:dyDescent="0.4">
      <c r="B55" s="10" t="s">
        <v>371</v>
      </c>
      <c r="C55" s="165">
        <v>5</v>
      </c>
      <c r="D55" s="120">
        <v>1426500</v>
      </c>
      <c r="H55" s="171" t="s">
        <v>369</v>
      </c>
      <c r="I55" s="245" t="s">
        <v>365</v>
      </c>
      <c r="J55" s="246">
        <v>114700</v>
      </c>
      <c r="K55" s="246" t="s">
        <v>56</v>
      </c>
    </row>
    <row r="56" spans="2:15" s="1" customFormat="1" ht="17" thickBot="1" x14ac:dyDescent="0.4">
      <c r="B56" s="11" t="s">
        <v>57</v>
      </c>
      <c r="C56" s="13"/>
      <c r="D56" s="119"/>
      <c r="H56" s="171" t="s">
        <v>369</v>
      </c>
      <c r="I56" s="248" t="s">
        <v>368</v>
      </c>
      <c r="J56" s="247">
        <v>650000</v>
      </c>
      <c r="K56" s="246" t="s">
        <v>56</v>
      </c>
    </row>
    <row r="57" spans="2:15" s="1" customFormat="1" x14ac:dyDescent="0.35"/>
    <row r="58" spans="2:15" s="1" customFormat="1" ht="19" thickBot="1" x14ac:dyDescent="0.5">
      <c r="B58" s="161" t="s">
        <v>58</v>
      </c>
    </row>
    <row r="59" spans="2:15" s="112" customFormat="1" ht="16" thickBot="1" x14ac:dyDescent="0.4">
      <c r="B59" s="174" t="s">
        <v>59</v>
      </c>
      <c r="C59" s="175" t="s">
        <v>60</v>
      </c>
      <c r="D59" s="175" t="s">
        <v>61</v>
      </c>
      <c r="E59" s="175" t="s">
        <v>62</v>
      </c>
      <c r="F59" s="175" t="s">
        <v>63</v>
      </c>
      <c r="G59" s="175" t="s">
        <v>64</v>
      </c>
      <c r="H59" s="175" t="s">
        <v>65</v>
      </c>
      <c r="I59" s="175" t="s">
        <v>66</v>
      </c>
      <c r="J59" s="175" t="s">
        <v>67</v>
      </c>
      <c r="K59" s="175" t="s">
        <v>68</v>
      </c>
      <c r="L59" s="175" t="s">
        <v>69</v>
      </c>
      <c r="M59" s="175" t="s">
        <v>70</v>
      </c>
      <c r="N59" s="175" t="s">
        <v>71</v>
      </c>
      <c r="O59" s="174" t="s">
        <v>72</v>
      </c>
    </row>
    <row r="60" spans="2:15" s="112" customFormat="1" ht="16" thickBot="1" x14ac:dyDescent="0.4">
      <c r="B60" s="174" t="s">
        <v>73</v>
      </c>
      <c r="C60" s="176">
        <v>5.12</v>
      </c>
      <c r="D60" s="176">
        <v>5.75</v>
      </c>
      <c r="E60" s="176">
        <v>6.37</v>
      </c>
      <c r="F60" s="176">
        <v>6.61</v>
      </c>
      <c r="G60" s="176">
        <v>6.34</v>
      </c>
      <c r="H60" s="176">
        <v>6.05</v>
      </c>
      <c r="I60" s="176">
        <v>6.26</v>
      </c>
      <c r="J60" s="176">
        <v>5.51</v>
      </c>
      <c r="K60" s="176">
        <v>6.03</v>
      </c>
      <c r="L60" s="176">
        <v>5.81</v>
      </c>
      <c r="M60" s="176">
        <v>5.226</v>
      </c>
      <c r="N60" s="176">
        <v>5.03</v>
      </c>
      <c r="O60" s="177">
        <f>IF('Table rentabilité'!G87="x",MAX(C60:N60),IF('Table rentabilité'!G88="x",MIN(C60:N60),IF('Table rentabilité'!G89="x",AVERAGE(C60:N60),"erreur")))</f>
        <v>5.8421666666666674</v>
      </c>
    </row>
    <row r="61" spans="2:15" s="1" customFormat="1" x14ac:dyDescent="0.35"/>
    <row r="62" spans="2:15" s="1" customFormat="1" ht="19" thickBot="1" x14ac:dyDescent="0.5">
      <c r="B62" s="161" t="s">
        <v>74</v>
      </c>
      <c r="D62" s="207" t="s">
        <v>75</v>
      </c>
      <c r="E62" s="207" t="s">
        <v>76</v>
      </c>
      <c r="F62" s="207" t="s">
        <v>77</v>
      </c>
      <c r="J62" s="207" t="s">
        <v>75</v>
      </c>
      <c r="K62" s="207" t="s">
        <v>76</v>
      </c>
      <c r="L62" s="207" t="s">
        <v>77</v>
      </c>
      <c r="M62" s="207" t="s">
        <v>78</v>
      </c>
    </row>
    <row r="63" spans="2:15" s="1" customFormat="1" ht="16" thickBot="1" x14ac:dyDescent="0.4">
      <c r="B63" s="276" t="s">
        <v>79</v>
      </c>
      <c r="C63" s="208" t="s">
        <v>80</v>
      </c>
      <c r="D63" s="209">
        <v>50</v>
      </c>
      <c r="E63" s="209">
        <v>500</v>
      </c>
      <c r="F63" s="209" t="s">
        <v>81</v>
      </c>
      <c r="H63" s="276" t="s">
        <v>79</v>
      </c>
      <c r="I63" s="208" t="s">
        <v>82</v>
      </c>
      <c r="J63" s="209">
        <f>(F91*30)-SUM(K63:L63)</f>
        <v>50</v>
      </c>
      <c r="K63" s="209">
        <f>IF((F91*30)&gt;D63,(F91*30)-D63-L63,0)</f>
        <v>188.67999999999998</v>
      </c>
      <c r="L63" s="210">
        <f>IF((F91*30)&gt;E63,(F91*30)-E63,0)</f>
        <v>0</v>
      </c>
      <c r="M63" s="210">
        <f>SUM(J63:L63)</f>
        <v>238.67999999999998</v>
      </c>
    </row>
    <row r="64" spans="2:15" s="1" customFormat="1" ht="16" thickBot="1" x14ac:dyDescent="0.4">
      <c r="B64" s="277"/>
      <c r="C64" s="208" t="s">
        <v>83</v>
      </c>
      <c r="D64" s="209">
        <v>128.85</v>
      </c>
      <c r="E64" s="209">
        <v>135.68</v>
      </c>
      <c r="F64" s="209">
        <v>147.68</v>
      </c>
      <c r="H64" s="277"/>
      <c r="I64" s="208" t="s">
        <v>84</v>
      </c>
      <c r="J64" s="210">
        <f>J63*D64</f>
        <v>6442.5</v>
      </c>
      <c r="K64" s="210">
        <f t="shared" ref="K64" si="0">K63*E64</f>
        <v>25600.1024</v>
      </c>
      <c r="L64" s="210">
        <f>L63*F64</f>
        <v>0</v>
      </c>
      <c r="M64" s="210">
        <f t="shared" ref="M64:M66" si="1">SUM(J64:L64)</f>
        <v>32042.6024</v>
      </c>
    </row>
    <row r="65" spans="2:23" s="1" customFormat="1" ht="16" thickBot="1" x14ac:dyDescent="0.4">
      <c r="B65" s="276" t="s">
        <v>85</v>
      </c>
      <c r="C65" s="208" t="s">
        <v>86</v>
      </c>
      <c r="D65" s="209">
        <v>100</v>
      </c>
      <c r="E65" s="209">
        <v>500</v>
      </c>
      <c r="F65" s="209" t="s">
        <v>81</v>
      </c>
      <c r="H65" s="276" t="s">
        <v>85</v>
      </c>
      <c r="I65" s="208" t="s">
        <v>82</v>
      </c>
      <c r="J65" s="209">
        <f>(F91*30)-SUM(K65:L65)</f>
        <v>100</v>
      </c>
      <c r="K65" s="209">
        <f>IF((F91*30)&gt;D65,(F91*30)-D65-L65,0)</f>
        <v>138.67999999999998</v>
      </c>
      <c r="L65" s="210">
        <f>IF((F91*30)&gt;E65,(F91*30)-E65,0)</f>
        <v>0</v>
      </c>
      <c r="M65" s="210">
        <f t="shared" si="1"/>
        <v>238.67999999999998</v>
      </c>
    </row>
    <row r="66" spans="2:23" s="1" customFormat="1" ht="16" thickBot="1" x14ac:dyDescent="0.4">
      <c r="B66" s="277"/>
      <c r="C66" s="208" t="s">
        <v>83</v>
      </c>
      <c r="D66" s="209">
        <v>129.81</v>
      </c>
      <c r="E66" s="209">
        <v>136.53</v>
      </c>
      <c r="F66" s="209">
        <v>149.24</v>
      </c>
      <c r="H66" s="277"/>
      <c r="I66" s="208" t="s">
        <v>84</v>
      </c>
      <c r="J66" s="210">
        <f>J65*D66</f>
        <v>12981</v>
      </c>
      <c r="K66" s="210">
        <f t="shared" ref="K66:L66" si="2">K65*E66</f>
        <v>18933.980399999997</v>
      </c>
      <c r="L66" s="210">
        <f t="shared" si="2"/>
        <v>0</v>
      </c>
      <c r="M66" s="210">
        <f t="shared" si="1"/>
        <v>31914.980399999997</v>
      </c>
    </row>
    <row r="67" spans="2:23" s="1" customFormat="1" x14ac:dyDescent="0.35"/>
    <row r="68" spans="2:23" ht="21" x14ac:dyDescent="0.5">
      <c r="B68" s="7" t="s">
        <v>87</v>
      </c>
      <c r="C68" s="8"/>
      <c r="D68" s="8"/>
      <c r="E68" s="8"/>
      <c r="F68" s="8"/>
      <c r="G68" s="8"/>
      <c r="H68" s="8"/>
      <c r="I68" s="8"/>
      <c r="J68" s="8"/>
      <c r="K68" s="8"/>
      <c r="L68" s="8"/>
      <c r="M68" s="8"/>
      <c r="N68" s="8"/>
      <c r="O68" s="8"/>
      <c r="Q68" s="1"/>
      <c r="R68" s="1"/>
      <c r="S68" s="1"/>
      <c r="T68" s="1"/>
      <c r="U68" s="1"/>
      <c r="V68" s="1"/>
      <c r="W68" s="1"/>
    </row>
    <row r="69" spans="2:23" s="1" customFormat="1" ht="16" thickBot="1" x14ac:dyDescent="0.4"/>
    <row r="70" spans="2:23" s="1" customFormat="1" ht="16" thickBot="1" x14ac:dyDescent="0.4">
      <c r="B70" s="14" t="s">
        <v>88</v>
      </c>
      <c r="F70" s="268">
        <v>30</v>
      </c>
      <c r="G70" s="269"/>
    </row>
    <row r="71" spans="2:23" s="1" customFormat="1" ht="16" thickBot="1" x14ac:dyDescent="0.4">
      <c r="B71" s="14" t="s">
        <v>89</v>
      </c>
      <c r="F71" s="217">
        <v>6</v>
      </c>
      <c r="G71" s="218"/>
    </row>
    <row r="72" spans="2:23" s="1" customFormat="1" ht="16" thickBot="1" x14ac:dyDescent="0.4">
      <c r="B72" s="14" t="s">
        <v>90</v>
      </c>
      <c r="F72" s="183">
        <v>0.5</v>
      </c>
      <c r="G72" s="199">
        <f>100%-F72</f>
        <v>0.5</v>
      </c>
    </row>
    <row r="73" spans="2:23" s="1" customFormat="1" ht="16" thickBot="1" x14ac:dyDescent="0.4">
      <c r="B73" s="14" t="s">
        <v>91</v>
      </c>
      <c r="F73" s="183">
        <v>0.75</v>
      </c>
      <c r="G73" s="218"/>
    </row>
    <row r="74" spans="2:23" s="1" customFormat="1" ht="5.15" customHeight="1" thickBot="1" x14ac:dyDescent="0.4">
      <c r="B74" s="14"/>
      <c r="F74" s="168"/>
      <c r="G74" s="168"/>
    </row>
    <row r="75" spans="2:23" s="1" customFormat="1" ht="16" thickBot="1" x14ac:dyDescent="0.4">
      <c r="B75" s="14" t="s">
        <v>92</v>
      </c>
      <c r="F75" s="268" t="s">
        <v>19</v>
      </c>
      <c r="G75" s="269"/>
    </row>
    <row r="76" spans="2:23" s="1" customFormat="1" ht="16" thickBot="1" x14ac:dyDescent="0.4">
      <c r="B76" s="14" t="s">
        <v>93</v>
      </c>
      <c r="F76" s="166" t="s">
        <v>46</v>
      </c>
      <c r="G76" s="167"/>
    </row>
    <row r="77" spans="2:23" s="1" customFormat="1" ht="16" thickBot="1" x14ac:dyDescent="0.4">
      <c r="B77" s="14" t="s">
        <v>94</v>
      </c>
      <c r="F77" s="166" t="s">
        <v>48</v>
      </c>
      <c r="G77" s="167"/>
    </row>
    <row r="78" spans="2:23" s="1" customFormat="1" ht="16" thickBot="1" x14ac:dyDescent="0.4">
      <c r="B78" s="14" t="s">
        <v>95</v>
      </c>
      <c r="F78" s="166" t="s">
        <v>54</v>
      </c>
      <c r="G78" s="167"/>
    </row>
    <row r="79" spans="2:23" s="1" customFormat="1" ht="16" thickBot="1" x14ac:dyDescent="0.4">
      <c r="B79" s="14" t="s">
        <v>96</v>
      </c>
      <c r="F79" s="166" t="s">
        <v>55</v>
      </c>
      <c r="G79" s="167"/>
    </row>
    <row r="80" spans="2:23" s="1" customFormat="1" ht="16" hidden="1" thickBot="1" x14ac:dyDescent="0.4">
      <c r="B80" s="14" t="s">
        <v>97</v>
      </c>
      <c r="F80" s="268"/>
      <c r="G80" s="269"/>
    </row>
    <row r="81" spans="2:7" s="1" customFormat="1" ht="16" thickBot="1" x14ac:dyDescent="0.4">
      <c r="B81" s="14" t="s">
        <v>98</v>
      </c>
      <c r="F81" s="217" t="s">
        <v>99</v>
      </c>
      <c r="G81" s="218"/>
    </row>
    <row r="82" spans="2:7" s="1" customFormat="1" ht="16" thickBot="1" x14ac:dyDescent="0.4">
      <c r="B82" s="14" t="s">
        <v>100</v>
      </c>
      <c r="F82" s="268" t="str">
        <f>IF(M64&lt;M66,B63,B65)</f>
        <v>UP-Moyenne Puissance</v>
      </c>
      <c r="G82" s="269"/>
    </row>
    <row r="83" spans="2:7" s="1" customFormat="1" ht="5.15" customHeight="1" thickBot="1" x14ac:dyDescent="0.4">
      <c r="B83" s="14"/>
      <c r="F83" s="168"/>
      <c r="G83" s="168"/>
    </row>
    <row r="84" spans="2:7" s="1" customFormat="1" ht="16" thickBot="1" x14ac:dyDescent="0.4">
      <c r="B84" s="14" t="s">
        <v>101</v>
      </c>
      <c r="F84" s="268">
        <v>1</v>
      </c>
      <c r="G84" s="269"/>
    </row>
    <row r="85" spans="2:7" s="1" customFormat="1" ht="16" thickBot="1" x14ac:dyDescent="0.4">
      <c r="B85" s="14" t="s">
        <v>102</v>
      </c>
      <c r="F85" s="197">
        <v>0.7</v>
      </c>
      <c r="G85" s="198"/>
    </row>
    <row r="86" spans="2:7" s="1" customFormat="1" ht="5.15" customHeight="1" thickBot="1" x14ac:dyDescent="0.4">
      <c r="B86" s="14"/>
      <c r="F86" s="168"/>
      <c r="G86" s="168"/>
    </row>
    <row r="87" spans="2:7" s="1" customFormat="1" ht="16" thickBot="1" x14ac:dyDescent="0.4">
      <c r="B87" s="14" t="s">
        <v>103</v>
      </c>
      <c r="F87" s="169" t="s">
        <v>104</v>
      </c>
      <c r="G87" s="170"/>
    </row>
    <row r="88" spans="2:7" s="1" customFormat="1" ht="16" thickBot="1" x14ac:dyDescent="0.4">
      <c r="B88" s="14"/>
      <c r="F88" s="169" t="s">
        <v>105</v>
      </c>
      <c r="G88" s="170"/>
    </row>
    <row r="89" spans="2:7" s="1" customFormat="1" ht="16" thickBot="1" x14ac:dyDescent="0.4">
      <c r="B89" s="14"/>
      <c r="F89" s="169" t="s">
        <v>106</v>
      </c>
      <c r="G89" s="170" t="s">
        <v>107</v>
      </c>
    </row>
    <row r="90" spans="2:7" s="1" customFormat="1" ht="5.15" customHeight="1" thickBot="1" x14ac:dyDescent="0.4">
      <c r="B90" s="14"/>
      <c r="F90" s="168"/>
      <c r="G90" s="168"/>
    </row>
    <row r="91" spans="2:7" s="1" customFormat="1" ht="17.149999999999999" customHeight="1" thickBot="1" x14ac:dyDescent="0.4">
      <c r="B91" s="14" t="s">
        <v>108</v>
      </c>
      <c r="F91" s="220">
        <f>G19+G20+G22</f>
        <v>7.9559999999999995</v>
      </c>
      <c r="G91" s="181" t="s">
        <v>109</v>
      </c>
    </row>
    <row r="92" spans="2:7" s="1" customFormat="1" ht="16" thickBot="1" x14ac:dyDescent="0.4">
      <c r="B92" s="14" t="s">
        <v>110</v>
      </c>
      <c r="F92" s="272">
        <v>4.95</v>
      </c>
      <c r="G92" s="273"/>
    </row>
    <row r="93" spans="2:7" s="1" customFormat="1" ht="16" thickBot="1" x14ac:dyDescent="0.4">
      <c r="B93" s="14" t="s">
        <v>362</v>
      </c>
      <c r="F93" s="232">
        <f>(INDEX(E:E,MATCH(F75,B:B,0)) +E22)*1.2</f>
        <v>3</v>
      </c>
      <c r="G93" s="233"/>
    </row>
    <row r="94" spans="2:7" s="1" customFormat="1" ht="16" thickBot="1" x14ac:dyDescent="0.4">
      <c r="B94" s="14" t="s">
        <v>111</v>
      </c>
      <c r="F94" s="180">
        <f>(G19+G20+G21)*1000*(F84)/(F85*I51)</f>
        <v>177.26190476190476</v>
      </c>
      <c r="G94" s="181"/>
    </row>
    <row r="95" spans="2:7" s="1" customFormat="1" ht="5.15" customHeight="1" thickBot="1" x14ac:dyDescent="0.4">
      <c r="B95" s="14"/>
      <c r="F95" s="168"/>
      <c r="G95" s="168"/>
    </row>
    <row r="96" spans="2:7" s="1" customFormat="1" ht="16" thickBot="1" x14ac:dyDescent="0.4">
      <c r="B96" s="14" t="s">
        <v>112</v>
      </c>
      <c r="F96" s="180">
        <f>ROUNDUP(F70/(C19*I19),0)</f>
        <v>1</v>
      </c>
      <c r="G96" s="201" t="s">
        <v>113</v>
      </c>
    </row>
    <row r="97" spans="2:23" s="1" customFormat="1" ht="16" thickBot="1" x14ac:dyDescent="0.4">
      <c r="B97" s="14" t="s">
        <v>114</v>
      </c>
      <c r="F97" s="180">
        <f>IF(F80&lt;&gt;"",1,0)</f>
        <v>0</v>
      </c>
      <c r="G97" s="201" t="s">
        <v>113</v>
      </c>
      <c r="H97" s="21"/>
      <c r="I97" s="21"/>
    </row>
    <row r="98" spans="2:23" s="1" customFormat="1" ht="16" thickBot="1" x14ac:dyDescent="0.4">
      <c r="B98" s="14" t="s">
        <v>115</v>
      </c>
      <c r="F98" s="180">
        <v>18</v>
      </c>
      <c r="G98" s="201" t="s">
        <v>113</v>
      </c>
      <c r="H98" s="260" t="s">
        <v>116</v>
      </c>
      <c r="I98" s="21"/>
    </row>
    <row r="99" spans="2:23" s="1" customFormat="1" ht="16" thickBot="1" x14ac:dyDescent="0.4">
      <c r="B99" s="14" t="s">
        <v>117</v>
      </c>
      <c r="F99" s="180">
        <f>ROUNDUP(I51/INDEX(K:K,MATCH(F77,H:H,0)),0)</f>
        <v>4</v>
      </c>
      <c r="G99" s="201" t="s">
        <v>113</v>
      </c>
      <c r="H99" s="260" t="s">
        <v>118</v>
      </c>
      <c r="I99" s="21"/>
    </row>
    <row r="100" spans="2:23" s="1" customFormat="1" ht="16" thickBot="1" x14ac:dyDescent="0.4">
      <c r="B100" s="14" t="s">
        <v>119</v>
      </c>
      <c r="F100" s="180">
        <v>2</v>
      </c>
      <c r="G100" s="201" t="s">
        <v>113</v>
      </c>
      <c r="H100" s="260" t="s">
        <v>120</v>
      </c>
      <c r="I100" s="21"/>
    </row>
    <row r="101" spans="2:23" s="1" customFormat="1" ht="16" thickBot="1" x14ac:dyDescent="0.4">
      <c r="B101" s="14" t="s">
        <v>121</v>
      </c>
      <c r="F101" s="180">
        <f>F99*F100</f>
        <v>8</v>
      </c>
      <c r="G101" s="201" t="s">
        <v>113</v>
      </c>
      <c r="H101" s="21"/>
      <c r="I101" s="21"/>
    </row>
    <row r="102" spans="2:23" s="1" customFormat="1" ht="16" thickBot="1" x14ac:dyDescent="0.4">
      <c r="B102" s="14" t="s">
        <v>122</v>
      </c>
      <c r="F102" s="180">
        <f>INDEX(L:L,MATCH(F77,H:H,0))*(130%-F85)</f>
        <v>6.0000000000000009</v>
      </c>
      <c r="G102" s="202" t="s">
        <v>123</v>
      </c>
      <c r="H102" s="21"/>
      <c r="I102" s="21"/>
    </row>
    <row r="103" spans="2:23" s="1" customFormat="1" ht="16" thickBot="1" x14ac:dyDescent="0.4">
      <c r="B103" s="14" t="s">
        <v>124</v>
      </c>
      <c r="F103" s="180">
        <f>ROUNDUP(F93/INDEX(C:C,MATCH(F78,B:B,0)),0)</f>
        <v>1</v>
      </c>
      <c r="G103" s="201" t="s">
        <v>113</v>
      </c>
      <c r="H103" s="260" t="s">
        <v>125</v>
      </c>
      <c r="I103" s="21"/>
    </row>
    <row r="104" spans="2:23" s="1" customFormat="1" ht="16" thickBot="1" x14ac:dyDescent="0.4">
      <c r="B104" s="14" t="s">
        <v>126</v>
      </c>
      <c r="F104" s="180">
        <f>IF(OR(I51=24,I51=12),1,2)</f>
        <v>2</v>
      </c>
      <c r="G104" s="201" t="s">
        <v>113</v>
      </c>
      <c r="H104" s="21"/>
      <c r="I104" s="21"/>
    </row>
    <row r="105" spans="2:23" s="1" customFormat="1" ht="5.15" customHeight="1" thickBot="1" x14ac:dyDescent="0.4">
      <c r="B105" s="14"/>
      <c r="F105" s="168"/>
      <c r="G105" s="146"/>
    </row>
    <row r="106" spans="2:23" s="1" customFormat="1" ht="16" thickBot="1" x14ac:dyDescent="0.4">
      <c r="B106" s="14" t="s">
        <v>127</v>
      </c>
      <c r="F106" s="15">
        <v>0.8</v>
      </c>
      <c r="G106" s="139"/>
    </row>
    <row r="107" spans="2:23" s="1" customFormat="1" ht="16" thickBot="1" x14ac:dyDescent="0.4">
      <c r="B107" s="14" t="s">
        <v>128</v>
      </c>
      <c r="F107" s="126">
        <v>6</v>
      </c>
      <c r="G107" s="1" t="s">
        <v>129</v>
      </c>
    </row>
    <row r="108" spans="2:23" ht="16" thickBot="1" x14ac:dyDescent="0.4">
      <c r="B108" s="14" t="s">
        <v>130</v>
      </c>
      <c r="C108" s="1"/>
      <c r="D108" s="1"/>
      <c r="E108" s="1"/>
      <c r="F108" s="16">
        <f>IF(F81="Oui",L26*C19*J19*I19*F106*F96,L27*C19*J19*I19*F106*F96)</f>
        <v>633.13920000000007</v>
      </c>
      <c r="G108" s="1" t="s">
        <v>131</v>
      </c>
      <c r="H108" s="221"/>
      <c r="I108" s="1"/>
      <c r="Q108" s="1"/>
      <c r="R108" s="1"/>
      <c r="S108" s="1"/>
      <c r="T108" s="1"/>
      <c r="U108" s="1"/>
      <c r="V108" s="1"/>
      <c r="W108" s="1"/>
    </row>
    <row r="109" spans="2:23" ht="16" thickBot="1" x14ac:dyDescent="0.4">
      <c r="B109" s="14" t="s">
        <v>132</v>
      </c>
      <c r="C109" s="1"/>
      <c r="D109" s="1"/>
      <c r="E109" s="1"/>
      <c r="F109" s="16">
        <f>L28*C20*J20*I20*F106*F96</f>
        <v>464.89599999999996</v>
      </c>
      <c r="G109" s="1" t="s">
        <v>131</v>
      </c>
      <c r="H109" s="221"/>
      <c r="I109" s="1"/>
      <c r="Q109" s="1"/>
      <c r="R109" s="1"/>
      <c r="S109" s="1"/>
      <c r="T109" s="1"/>
      <c r="U109" s="1"/>
      <c r="V109" s="1"/>
      <c r="W109" s="1"/>
    </row>
    <row r="110" spans="2:23" s="1" customFormat="1" ht="16" thickBot="1" x14ac:dyDescent="0.4">
      <c r="B110" s="14" t="s">
        <v>133</v>
      </c>
      <c r="F110" s="16">
        <f>(IF(F81="Oui",K26*C19*J19*I19,K27*C19*J19*I19)+(K28*C20*J20*I20))*F106*F96</f>
        <v>8524.8000000000011</v>
      </c>
      <c r="G110" s="1" t="s">
        <v>134</v>
      </c>
      <c r="H110" s="206"/>
    </row>
    <row r="111" spans="2:23" s="1" customFormat="1" ht="16" thickBot="1" x14ac:dyDescent="0.4">
      <c r="B111" s="14" t="s">
        <v>135</v>
      </c>
      <c r="F111" s="16">
        <f>C19*J19*I19*F106*F96*(1+(100%-F73))</f>
        <v>9600</v>
      </c>
      <c r="G111" s="1" t="s">
        <v>134</v>
      </c>
      <c r="H111" s="206"/>
    </row>
    <row r="112" spans="2:23" s="1" customFormat="1" ht="16" thickBot="1" x14ac:dyDescent="0.4">
      <c r="B112" s="14" t="s">
        <v>136</v>
      </c>
      <c r="F112" s="16">
        <f>C20*I20*J20*F106*F96</f>
        <v>2048</v>
      </c>
      <c r="G112" s="1" t="s">
        <v>134</v>
      </c>
      <c r="H112" s="206"/>
    </row>
    <row r="113" spans="2:23" s="1" customFormat="1" ht="16" thickBot="1" x14ac:dyDescent="0.4">
      <c r="B113" s="14" t="s">
        <v>137</v>
      </c>
      <c r="C113" s="1" t="s">
        <v>138</v>
      </c>
      <c r="F113" s="200">
        <v>0</v>
      </c>
      <c r="G113" s="1" t="s">
        <v>139</v>
      </c>
      <c r="H113" s="105">
        <v>2</v>
      </c>
      <c r="I113" s="196" t="s">
        <v>140</v>
      </c>
    </row>
    <row r="114" spans="2:23" s="1" customFormat="1" ht="16" thickBot="1" x14ac:dyDescent="0.4">
      <c r="B114" s="14"/>
      <c r="C114" s="1" t="s">
        <v>141</v>
      </c>
      <c r="F114" s="16">
        <f>F113*H113</f>
        <v>0</v>
      </c>
      <c r="G114" s="1" t="s">
        <v>134</v>
      </c>
      <c r="H114" s="196"/>
    </row>
    <row r="115" spans="2:23" s="1" customFormat="1" ht="16" thickBot="1" x14ac:dyDescent="0.4">
      <c r="B115" s="14"/>
      <c r="C115" s="1" t="s">
        <v>142</v>
      </c>
      <c r="F115" s="200">
        <v>2</v>
      </c>
      <c r="G115" s="1" t="s">
        <v>143</v>
      </c>
    </row>
    <row r="116" spans="2:23" s="1" customFormat="1" x14ac:dyDescent="0.35">
      <c r="B116" s="14"/>
      <c r="F116" s="17"/>
    </row>
    <row r="117" spans="2:23" s="1" customFormat="1" ht="21" x14ac:dyDescent="0.5">
      <c r="B117" s="7" t="s">
        <v>144</v>
      </c>
      <c r="C117" s="18"/>
      <c r="D117" s="18"/>
      <c r="E117" s="18"/>
      <c r="F117" s="19"/>
      <c r="G117" s="18"/>
      <c r="H117" s="18"/>
      <c r="I117" s="18"/>
      <c r="J117" s="18"/>
      <c r="K117" s="18"/>
      <c r="L117" s="18"/>
      <c r="M117" s="18"/>
      <c r="N117" s="18"/>
      <c r="O117" s="18"/>
    </row>
    <row r="118" spans="2:23" s="1" customFormat="1" ht="21" x14ac:dyDescent="0.5">
      <c r="B118" s="20"/>
      <c r="C118" s="21"/>
      <c r="D118" s="21"/>
      <c r="E118" s="21"/>
      <c r="F118" s="22"/>
      <c r="G118" s="21"/>
      <c r="H118" s="21"/>
      <c r="I118" s="21"/>
      <c r="J118" s="21"/>
      <c r="K118" s="21"/>
      <c r="L118" s="21"/>
      <c r="M118" s="21"/>
      <c r="N118" s="21"/>
      <c r="O118" s="21"/>
    </row>
    <row r="119" spans="2:23" ht="16" thickBot="1" x14ac:dyDescent="0.4">
      <c r="B119" s="23" t="s">
        <v>145</v>
      </c>
      <c r="C119" s="1"/>
      <c r="D119" s="1"/>
      <c r="E119" s="1"/>
      <c r="F119" s="1"/>
      <c r="G119" s="1"/>
      <c r="H119" s="1"/>
      <c r="I119" s="1"/>
      <c r="Q119" s="1"/>
      <c r="R119" s="1"/>
      <c r="S119" s="1"/>
      <c r="T119" s="1"/>
      <c r="U119" s="1"/>
      <c r="V119" s="1"/>
      <c r="W119" s="1"/>
    </row>
    <row r="120" spans="2:23" ht="31.5" thickBot="1" x14ac:dyDescent="0.4">
      <c r="B120" s="24" t="s">
        <v>146</v>
      </c>
      <c r="C120" s="270" t="s">
        <v>147</v>
      </c>
      <c r="D120" s="271"/>
      <c r="E120" s="219" t="s">
        <v>148</v>
      </c>
      <c r="F120" s="219" t="s">
        <v>149</v>
      </c>
      <c r="G120" s="215" t="s">
        <v>150</v>
      </c>
      <c r="H120" s="1"/>
      <c r="I120" s="1" t="s">
        <v>151</v>
      </c>
      <c r="L120" s="25">
        <v>0.01</v>
      </c>
      <c r="Q120" s="1"/>
      <c r="R120" s="1"/>
      <c r="S120" s="1"/>
      <c r="T120" s="1"/>
      <c r="U120" s="1"/>
      <c r="V120" s="1"/>
      <c r="W120" s="1"/>
    </row>
    <row r="121" spans="2:23" ht="16" thickBot="1" x14ac:dyDescent="0.4">
      <c r="B121" s="26" t="s">
        <v>152</v>
      </c>
      <c r="C121" s="27">
        <f>F111*F73</f>
        <v>7200</v>
      </c>
      <c r="D121" s="27" t="s">
        <v>134</v>
      </c>
      <c r="E121" s="27">
        <v>600</v>
      </c>
      <c r="F121" s="27">
        <f>E121*C121*L121</f>
        <v>2808000</v>
      </c>
      <c r="G121" s="27">
        <f>E121*C121*L121</f>
        <v>2808000</v>
      </c>
      <c r="H121" s="1"/>
      <c r="I121" s="1" t="s">
        <v>153</v>
      </c>
      <c r="L121" s="25">
        <v>0.65</v>
      </c>
      <c r="M121" s="35"/>
      <c r="N121" s="35"/>
      <c r="O121" s="194"/>
      <c r="P121" s="35"/>
      <c r="Q121" s="195"/>
      <c r="R121" s="1"/>
      <c r="S121" s="1"/>
      <c r="T121" s="1"/>
      <c r="U121" s="1"/>
      <c r="V121" s="1"/>
      <c r="W121" s="1"/>
    </row>
    <row r="122" spans="2:23" ht="16" thickBot="1" x14ac:dyDescent="0.4">
      <c r="B122" s="26" t="s">
        <v>154</v>
      </c>
      <c r="C122" s="27">
        <f>F112</f>
        <v>2048</v>
      </c>
      <c r="D122" s="27" t="s">
        <v>134</v>
      </c>
      <c r="E122" s="27">
        <v>2000</v>
      </c>
      <c r="F122" s="27">
        <f>E122*C122</f>
        <v>4096000</v>
      </c>
      <c r="G122" s="27">
        <f>(C122-F114)*E122</f>
        <v>4096000</v>
      </c>
      <c r="H122" s="1"/>
      <c r="I122" s="196" t="s">
        <v>155</v>
      </c>
      <c r="K122" s="154"/>
      <c r="L122" s="182"/>
      <c r="O122" s="97"/>
      <c r="P122" s="35"/>
      <c r="Q122" s="195"/>
      <c r="R122" s="1"/>
      <c r="S122" s="1"/>
      <c r="T122" s="1"/>
      <c r="U122" s="1"/>
      <c r="V122" s="1"/>
      <c r="W122" s="1"/>
    </row>
    <row r="123" spans="2:23" ht="16" thickBot="1" x14ac:dyDescent="0.4">
      <c r="B123" s="26" t="s">
        <v>156</v>
      </c>
      <c r="C123" s="27">
        <f>C121/50</f>
        <v>144</v>
      </c>
      <c r="D123" s="113" t="s">
        <v>157</v>
      </c>
      <c r="E123" s="27">
        <v>200</v>
      </c>
      <c r="F123" s="27">
        <f>E123*C123</f>
        <v>28800</v>
      </c>
      <c r="G123" s="27">
        <f>E123*C123</f>
        <v>28800</v>
      </c>
      <c r="H123" s="1"/>
      <c r="I123" s="196" t="s">
        <v>158</v>
      </c>
      <c r="Q123" s="1"/>
      <c r="R123" s="1"/>
      <c r="S123" s="1"/>
      <c r="T123" s="1"/>
      <c r="U123" s="1"/>
      <c r="V123" s="1"/>
      <c r="W123" s="1"/>
    </row>
    <row r="124" spans="2:23" ht="16" thickBot="1" x14ac:dyDescent="0.4">
      <c r="B124" s="29" t="s">
        <v>159</v>
      </c>
      <c r="C124" s="261">
        <f>SUM(F108:F109)</f>
        <v>1098.0352</v>
      </c>
      <c r="D124" s="116" t="s">
        <v>160</v>
      </c>
      <c r="E124" s="261">
        <v>5421</v>
      </c>
      <c r="F124" s="27">
        <f>E124*C124</f>
        <v>5952448.8191999998</v>
      </c>
      <c r="G124" s="27">
        <f>E124*C124</f>
        <v>5952448.8191999998</v>
      </c>
      <c r="H124" s="1"/>
      <c r="I124" s="1"/>
      <c r="Q124" s="1"/>
      <c r="R124" s="1"/>
      <c r="S124" s="1"/>
      <c r="T124" s="1"/>
      <c r="U124" s="1"/>
      <c r="V124" s="1"/>
      <c r="W124" s="1"/>
    </row>
    <row r="125" spans="2:23" ht="16" thickBot="1" x14ac:dyDescent="0.4">
      <c r="B125" s="26" t="s">
        <v>161</v>
      </c>
      <c r="C125" s="27">
        <f>C124*8</f>
        <v>8784.2816000000003</v>
      </c>
      <c r="D125" s="211" t="s">
        <v>162</v>
      </c>
      <c r="E125" s="27">
        <v>262</v>
      </c>
      <c r="F125" s="27">
        <f t="shared" ref="F125" si="3">E125*C125</f>
        <v>2301481.7792000002</v>
      </c>
      <c r="G125" s="27">
        <f t="shared" ref="G125" si="4">E125*C125</f>
        <v>2301481.7792000002</v>
      </c>
      <c r="H125" s="1"/>
      <c r="I125" s="1"/>
      <c r="Q125" s="1"/>
      <c r="R125" s="1"/>
      <c r="S125" s="1"/>
      <c r="T125" s="1"/>
      <c r="U125" s="1"/>
      <c r="V125" s="1"/>
      <c r="W125" s="1"/>
    </row>
    <row r="126" spans="2:23" ht="16" thickBot="1" x14ac:dyDescent="0.4">
      <c r="B126" s="26" t="s">
        <v>163</v>
      </c>
      <c r="C126" s="27">
        <f>F107</f>
        <v>6</v>
      </c>
      <c r="D126" s="211">
        <f>G106</f>
        <v>0</v>
      </c>
      <c r="E126" s="27">
        <v>55000</v>
      </c>
      <c r="F126" s="27">
        <f>E126*C126*12</f>
        <v>3960000</v>
      </c>
      <c r="G126" s="27">
        <f>E126*C126*12</f>
        <v>3960000</v>
      </c>
      <c r="H126" s="1"/>
      <c r="I126" s="1"/>
      <c r="Q126" s="1"/>
      <c r="R126" s="1"/>
      <c r="S126" s="1"/>
      <c r="T126" s="1"/>
      <c r="U126" s="1"/>
      <c r="V126" s="1"/>
      <c r="W126" s="1"/>
    </row>
    <row r="127" spans="2:23" x14ac:dyDescent="0.35">
      <c r="B127" s="29" t="s">
        <v>164</v>
      </c>
      <c r="C127" s="261">
        <v>1</v>
      </c>
      <c r="D127" s="116" t="s">
        <v>165</v>
      </c>
      <c r="E127" s="261">
        <v>50000</v>
      </c>
      <c r="F127" s="27">
        <f>E127*C127*12</f>
        <v>600000</v>
      </c>
      <c r="G127" s="27">
        <f>E127*C127*12</f>
        <v>600000</v>
      </c>
      <c r="H127" s="1"/>
      <c r="I127" s="1" t="s">
        <v>166</v>
      </c>
      <c r="K127" s="1" t="s">
        <v>167</v>
      </c>
      <c r="L127" s="1">
        <f>(MIN(M64,M66)*12)-G152</f>
        <v>-1205107.3351999999</v>
      </c>
      <c r="Q127" s="1"/>
      <c r="R127" s="1"/>
      <c r="S127" s="1"/>
      <c r="T127" s="1"/>
      <c r="U127" s="1"/>
      <c r="V127" s="1"/>
      <c r="W127" s="1"/>
    </row>
    <row r="128" spans="2:23" ht="16" thickBot="1" x14ac:dyDescent="0.4">
      <c r="B128" s="29" t="s">
        <v>168</v>
      </c>
      <c r="C128" s="261">
        <v>0</v>
      </c>
      <c r="D128" s="116">
        <v>0</v>
      </c>
      <c r="E128" s="261">
        <v>0</v>
      </c>
      <c r="F128" s="27">
        <f>E128*C128*12</f>
        <v>0</v>
      </c>
      <c r="G128" s="27">
        <f>E128*C128*12</f>
        <v>0</v>
      </c>
      <c r="H128" s="1"/>
      <c r="I128" s="1"/>
      <c r="Q128" s="1"/>
      <c r="R128" s="1"/>
      <c r="S128" s="1"/>
      <c r="T128" s="1"/>
      <c r="U128" s="1"/>
      <c r="V128" s="1"/>
      <c r="W128" s="1"/>
    </row>
    <row r="129" spans="1:35" ht="16" thickBot="1" x14ac:dyDescent="0.4">
      <c r="B129" s="30" t="s">
        <v>169</v>
      </c>
      <c r="C129" s="31"/>
      <c r="D129" s="31"/>
      <c r="E129" s="32"/>
      <c r="F129" s="33">
        <f>SUM(F121:F128)</f>
        <v>19746730.5984</v>
      </c>
      <c r="G129" s="33">
        <f>SUM(G121:G128)</f>
        <v>19746730.5984</v>
      </c>
      <c r="H129" s="206"/>
      <c r="I129" s="1"/>
      <c r="K129" s="1" t="s">
        <v>170</v>
      </c>
      <c r="L129" s="61">
        <f>(MIN(M64,M66)*12*5)-(G152*5)</f>
        <v>-6025536.675999999</v>
      </c>
      <c r="Q129" s="1"/>
      <c r="R129" s="1"/>
      <c r="S129" s="1"/>
      <c r="T129" s="1"/>
      <c r="U129" s="1"/>
      <c r="V129" s="1"/>
      <c r="W129" s="1"/>
    </row>
    <row r="130" spans="1:35" s="1" customFormat="1" ht="16" thickBot="1" x14ac:dyDescent="0.4">
      <c r="K130" s="1" t="s">
        <v>171</v>
      </c>
      <c r="L130" s="61">
        <f>(MIN(M64,M66)*12*9)-(G152*9)</f>
        <v>-10845966.016799999</v>
      </c>
    </row>
    <row r="131" spans="1:35" s="1" customFormat="1" ht="16" thickBot="1" x14ac:dyDescent="0.4">
      <c r="B131" s="34" t="s">
        <v>172</v>
      </c>
    </row>
    <row r="132" spans="1:35" s="38" customFormat="1" ht="31.5" thickBot="1" x14ac:dyDescent="0.4">
      <c r="A132" s="35"/>
      <c r="B132" s="36" t="s">
        <v>173</v>
      </c>
      <c r="C132" s="215" t="s">
        <v>147</v>
      </c>
      <c r="D132" s="37" t="s">
        <v>174</v>
      </c>
      <c r="E132" s="215" t="s">
        <v>175</v>
      </c>
      <c r="F132" s="37" t="s">
        <v>176</v>
      </c>
      <c r="G132" s="215" t="s">
        <v>177</v>
      </c>
      <c r="H132" s="35"/>
      <c r="I132" s="35"/>
      <c r="J132" s="35"/>
      <c r="K132" s="35"/>
      <c r="L132" s="35"/>
      <c r="M132" s="35"/>
      <c r="N132" s="35"/>
      <c r="O132" s="35"/>
      <c r="P132" s="35"/>
      <c r="Q132" s="35"/>
      <c r="R132" s="35"/>
      <c r="S132" s="35"/>
      <c r="T132" s="35"/>
      <c r="U132" s="35"/>
      <c r="V132" s="35"/>
      <c r="W132" s="35"/>
      <c r="X132" s="35"/>
      <c r="Y132" s="35"/>
      <c r="Z132" s="35"/>
      <c r="AA132" s="35"/>
      <c r="AB132" s="35"/>
      <c r="AC132" s="35"/>
      <c r="AD132" s="35"/>
      <c r="AE132" s="35"/>
      <c r="AF132" s="35"/>
      <c r="AG132" s="35"/>
      <c r="AH132" s="35"/>
      <c r="AI132" s="35"/>
    </row>
    <row r="133" spans="1:35" ht="16" thickBot="1" x14ac:dyDescent="0.4">
      <c r="B133" s="39" t="s">
        <v>178</v>
      </c>
      <c r="C133" s="27">
        <f>IF($B$5=INDEX($B$6:$B$7,1,1),F96,'investissement réel'!C4)</f>
        <v>1</v>
      </c>
      <c r="D133" s="40">
        <f>IF($B$5=INDEX($B$6:$B$7,1,1),F19,'investissement réel'!D4)</f>
        <v>1967871</v>
      </c>
      <c r="E133" s="113">
        <v>10</v>
      </c>
      <c r="F133" s="40">
        <f t="shared" ref="F133:F151" si="5">C133*D133</f>
        <v>1967871</v>
      </c>
      <c r="G133" s="41">
        <f t="shared" ref="G133:G148" si="6">IFERROR(F133/E133,0)</f>
        <v>196787.1</v>
      </c>
      <c r="H133" s="1"/>
      <c r="I133" s="1"/>
      <c r="Q133" s="1"/>
      <c r="R133" s="1"/>
      <c r="S133" s="1"/>
      <c r="T133" s="1"/>
      <c r="U133" s="1"/>
      <c r="V133" s="1"/>
      <c r="W133" s="1"/>
    </row>
    <row r="134" spans="1:35" ht="16" thickBot="1" x14ac:dyDescent="0.4">
      <c r="B134" s="39" t="s">
        <v>22</v>
      </c>
      <c r="C134" s="27">
        <f>IF($B$5=INDEX($B$6:$B$7,1,1),C32,'investissement réel'!C5)</f>
        <v>1</v>
      </c>
      <c r="D134" s="40">
        <f>IF($B$5=INDEX($B$6:$B$7,1,1),D32,'investissement réel'!D5)</f>
        <v>750000</v>
      </c>
      <c r="E134" s="113">
        <v>15</v>
      </c>
      <c r="F134" s="40">
        <f t="shared" si="5"/>
        <v>750000</v>
      </c>
      <c r="G134" s="41">
        <f t="shared" si="6"/>
        <v>50000</v>
      </c>
      <c r="H134" s="1"/>
      <c r="I134" s="1"/>
      <c r="Q134" s="1"/>
      <c r="R134" s="1"/>
      <c r="S134" s="1"/>
      <c r="T134" s="1"/>
      <c r="U134" s="1"/>
      <c r="V134" s="1"/>
      <c r="W134" s="1"/>
    </row>
    <row r="135" spans="1:35" ht="16" thickBot="1" x14ac:dyDescent="0.4">
      <c r="B135" s="39" t="s">
        <v>179</v>
      </c>
      <c r="C135" s="27">
        <f>IF($B$5=INDEX($B$6:$B$7,1,1),C33,'investissement réel'!C6)</f>
        <v>1</v>
      </c>
      <c r="D135" s="40">
        <f>IF($B$5=INDEX($B$6:$B$7,1,1),D33,'investissement réel'!D6)</f>
        <v>0</v>
      </c>
      <c r="E135" s="113">
        <v>10</v>
      </c>
      <c r="F135" s="40">
        <f t="shared" ref="F135" si="7">C135*D135</f>
        <v>0</v>
      </c>
      <c r="G135" s="41">
        <f t="shared" ref="G135" si="8">IFERROR(F135/E135,0)</f>
        <v>0</v>
      </c>
      <c r="H135" s="1"/>
      <c r="I135" s="1"/>
      <c r="Q135" s="1"/>
      <c r="R135" s="1"/>
      <c r="S135" s="1"/>
      <c r="T135" s="1"/>
      <c r="U135" s="1"/>
      <c r="V135" s="1"/>
      <c r="W135" s="1"/>
    </row>
    <row r="136" spans="1:35" ht="16" thickBot="1" x14ac:dyDescent="0.4">
      <c r="B136" s="39" t="s">
        <v>180</v>
      </c>
      <c r="C136" s="27">
        <f>IF($B$5=INDEX($B$6:$B$7,1,1),C34,'investissement réel'!C7)</f>
        <v>1</v>
      </c>
      <c r="D136" s="40">
        <f>IF($B$5=INDEX($B$6:$B$7,1,1),D34,'investissement réel'!D7)</f>
        <v>3800000</v>
      </c>
      <c r="E136" s="113">
        <v>15</v>
      </c>
      <c r="F136" s="40">
        <f t="shared" ref="F136" si="9">C136*D136</f>
        <v>3800000</v>
      </c>
      <c r="G136" s="41">
        <f t="shared" ref="G136" si="10">IFERROR(F136/E136,0)</f>
        <v>253333.33333333334</v>
      </c>
      <c r="H136" s="1"/>
      <c r="I136" s="1"/>
      <c r="Q136" s="1"/>
      <c r="R136" s="1"/>
      <c r="S136" s="1"/>
      <c r="T136" s="1"/>
      <c r="U136" s="1"/>
      <c r="V136" s="1"/>
      <c r="W136" s="1"/>
    </row>
    <row r="137" spans="1:35" ht="16" thickBot="1" x14ac:dyDescent="0.4">
      <c r="B137" s="39" t="s">
        <v>181</v>
      </c>
      <c r="C137" s="27">
        <f>IF($B$5=INDEX($B$6:$B$7,1,1),F98,'investissement réel'!C8)</f>
        <v>18</v>
      </c>
      <c r="D137" s="40">
        <f>IF($B$5=INDEX($B$6:$B$7,1,1),INDEX(D:D,MATCH(F76,B:B,0)),'investissement réel'!D8)</f>
        <v>250000</v>
      </c>
      <c r="E137" s="113">
        <v>20</v>
      </c>
      <c r="F137" s="40">
        <f t="shared" si="5"/>
        <v>4500000</v>
      </c>
      <c r="G137" s="41">
        <f t="shared" si="6"/>
        <v>225000</v>
      </c>
      <c r="H137" s="1"/>
      <c r="I137" s="1"/>
      <c r="Q137" s="1"/>
      <c r="R137" s="1"/>
      <c r="S137" s="1"/>
      <c r="T137" s="1"/>
      <c r="U137" s="1"/>
      <c r="V137" s="1"/>
      <c r="W137" s="1"/>
    </row>
    <row r="138" spans="1:35" ht="16" thickBot="1" x14ac:dyDescent="0.4">
      <c r="B138" s="39" t="s">
        <v>182</v>
      </c>
      <c r="C138" s="27">
        <f>IF($B$5=INDEX($B$6:$B$7,1,1),F101,'investissement réel'!C9)</f>
        <v>8</v>
      </c>
      <c r="D138" s="40">
        <f>IF($B$5=INDEX($B$6:$B$7,1,1),INDEX(J:J,MATCH(F77,H:H,0)),'investissement réel'!D9)</f>
        <v>400000</v>
      </c>
      <c r="E138" s="27">
        <f>F102</f>
        <v>6.0000000000000009</v>
      </c>
      <c r="F138" s="40">
        <f t="shared" si="5"/>
        <v>3200000</v>
      </c>
      <c r="G138" s="41">
        <f t="shared" si="6"/>
        <v>533333.33333333326</v>
      </c>
      <c r="H138" s="1"/>
      <c r="I138" s="1"/>
      <c r="Q138" s="1"/>
      <c r="R138" s="1"/>
      <c r="S138" s="1"/>
      <c r="T138" s="1"/>
      <c r="U138" s="1"/>
      <c r="V138" s="1"/>
      <c r="W138" s="1"/>
    </row>
    <row r="139" spans="1:35" ht="16" thickBot="1" x14ac:dyDescent="0.4">
      <c r="B139" s="39" t="s">
        <v>183</v>
      </c>
      <c r="C139" s="27">
        <f>IF($B$5=INDEX($B$6:$B$7,1,1),F104,'investissement réel'!C10)</f>
        <v>1</v>
      </c>
      <c r="D139" s="40">
        <f>IF($B$5=INDEX($B$6:$B$7,1,1),INDEX(J:J,MATCH(F79,H:H,0)),'investissement réel'!D10)</f>
        <v>220000</v>
      </c>
      <c r="E139" s="113">
        <v>10</v>
      </c>
      <c r="F139" s="40">
        <f t="shared" si="5"/>
        <v>220000</v>
      </c>
      <c r="G139" s="41">
        <f t="shared" si="6"/>
        <v>22000</v>
      </c>
      <c r="H139" s="1"/>
      <c r="I139" s="1"/>
      <c r="Q139" s="1"/>
      <c r="R139" s="1"/>
      <c r="S139" s="1"/>
      <c r="T139" s="1"/>
      <c r="U139" s="1"/>
      <c r="V139" s="1"/>
      <c r="W139" s="1"/>
    </row>
    <row r="140" spans="1:35" ht="16" thickBot="1" x14ac:dyDescent="0.4">
      <c r="B140" s="42" t="s">
        <v>184</v>
      </c>
      <c r="C140" s="172">
        <f>IF($B$5=INDEX($B$6:$B$7,1,1),F103,'investissement réel'!C11)</f>
        <v>1</v>
      </c>
      <c r="D140" s="173">
        <f>IF($B$5=INDEX($B$6:$B$7,1,1),INDEX(D:D,MATCH(F78,B:B,0)),'investissement réel'!D11)</f>
        <v>450000</v>
      </c>
      <c r="E140" s="115">
        <v>10</v>
      </c>
      <c r="F140" s="40">
        <f t="shared" si="5"/>
        <v>450000</v>
      </c>
      <c r="G140" s="41">
        <f t="shared" si="6"/>
        <v>45000</v>
      </c>
      <c r="H140" s="1"/>
      <c r="I140" s="2"/>
      <c r="Q140" s="1"/>
      <c r="R140" s="1"/>
      <c r="S140" s="1"/>
      <c r="T140" s="1"/>
      <c r="U140" s="1"/>
      <c r="V140" s="1"/>
      <c r="W140" s="1"/>
    </row>
    <row r="141" spans="1:35" ht="16" thickBot="1" x14ac:dyDescent="0.4">
      <c r="B141" s="39" t="s">
        <v>185</v>
      </c>
      <c r="C141" s="27">
        <f>IF($B$5=INDEX($B$6:$B$7,1,1),C137,'investissement réel'!C12)</f>
        <v>18</v>
      </c>
      <c r="D141" s="114">
        <f>IF($B$5=INDEX($B$6:$B$7,1,1),D41,'investissement réel'!D12)</f>
        <v>35000</v>
      </c>
      <c r="E141" s="113">
        <v>20</v>
      </c>
      <c r="F141" s="40">
        <f t="shared" si="5"/>
        <v>630000</v>
      </c>
      <c r="G141" s="41">
        <f t="shared" si="6"/>
        <v>31500</v>
      </c>
      <c r="H141" s="1"/>
      <c r="I141" s="1"/>
      <c r="Q141" s="1"/>
      <c r="R141" s="1"/>
      <c r="S141" s="1"/>
      <c r="T141" s="1"/>
      <c r="U141" s="1"/>
      <c r="V141" s="1"/>
      <c r="W141" s="1"/>
    </row>
    <row r="142" spans="1:35" ht="16" thickBot="1" x14ac:dyDescent="0.4">
      <c r="B142" s="39" t="s">
        <v>186</v>
      </c>
      <c r="C142" s="113">
        <f>IF($B$5=INDEX($B$6:$B$7,1,1),C35,'investissement réel'!C13)</f>
        <v>1</v>
      </c>
      <c r="D142" s="114">
        <f>IF($B$5=INDEX($B$6:$B$7,1,1),D35,'investissement réel'!D13)</f>
        <v>147000</v>
      </c>
      <c r="E142" s="113">
        <v>15</v>
      </c>
      <c r="F142" s="40">
        <f t="shared" si="5"/>
        <v>147000</v>
      </c>
      <c r="G142" s="41">
        <f t="shared" si="6"/>
        <v>9800</v>
      </c>
      <c r="H142" s="1"/>
      <c r="I142" s="1"/>
      <c r="Q142" s="1"/>
      <c r="R142" s="1"/>
      <c r="S142" s="1"/>
      <c r="T142" s="1"/>
      <c r="U142" s="1"/>
      <c r="V142" s="1"/>
      <c r="W142" s="1"/>
    </row>
    <row r="143" spans="1:35" ht="16" thickBot="1" x14ac:dyDescent="0.4">
      <c r="B143" s="39" t="s">
        <v>187</v>
      </c>
      <c r="C143" s="113">
        <f>IF($B$5=INDEX($B$6:$B$7,1,1),C36,'investissement réel'!C14)</f>
        <v>1</v>
      </c>
      <c r="D143" s="114">
        <f>IF($B$5=INDEX($B$6:$B$7,1,1),D36,'investissement réel'!D14)</f>
        <v>140000</v>
      </c>
      <c r="E143" s="113">
        <v>15</v>
      </c>
      <c r="F143" s="40">
        <f t="shared" si="5"/>
        <v>140000</v>
      </c>
      <c r="G143" s="41">
        <f t="shared" si="6"/>
        <v>9333.3333333333339</v>
      </c>
      <c r="H143" s="1"/>
      <c r="I143" s="1"/>
      <c r="Q143" s="1"/>
      <c r="R143" s="1"/>
      <c r="S143" s="1"/>
      <c r="T143" s="1"/>
      <c r="U143" s="1"/>
      <c r="V143" s="1"/>
      <c r="W143" s="1"/>
    </row>
    <row r="144" spans="1:35" ht="16" thickBot="1" x14ac:dyDescent="0.4">
      <c r="B144" s="39" t="s">
        <v>188</v>
      </c>
      <c r="C144" s="113">
        <f>IF($B$5=INDEX($B$6:$B$7,1,1),C42,'investissement réel'!C15)</f>
        <v>1</v>
      </c>
      <c r="D144" s="114">
        <f>IF($B$5=INDEX($B$6:$B$7,1,1),D42,'investissement réel'!D15)</f>
        <v>240000</v>
      </c>
      <c r="E144" s="113">
        <v>20</v>
      </c>
      <c r="F144" s="40">
        <f t="shared" si="5"/>
        <v>240000</v>
      </c>
      <c r="G144" s="41">
        <f t="shared" si="6"/>
        <v>12000</v>
      </c>
      <c r="H144" s="1"/>
      <c r="I144" s="1"/>
      <c r="Q144" s="1"/>
      <c r="R144" s="1"/>
      <c r="S144" s="1"/>
      <c r="T144" s="1"/>
      <c r="U144" s="1"/>
      <c r="V144" s="1"/>
      <c r="W144" s="1"/>
    </row>
    <row r="145" spans="2:23" ht="16" thickBot="1" x14ac:dyDescent="0.4">
      <c r="B145" s="39" t="s">
        <v>189</v>
      </c>
      <c r="C145" s="28">
        <f>IF($B$5=INDEX($B$6:$B$7,1,1),C43,'investissement réel'!C16)</f>
        <v>0</v>
      </c>
      <c r="D145" s="114">
        <f>IF($B$5=INDEX($B$6:$B$7,1,1),D43,'investissement réel'!D16)</f>
        <v>0</v>
      </c>
      <c r="E145" s="28"/>
      <c r="F145" s="40">
        <f t="shared" si="5"/>
        <v>0</v>
      </c>
      <c r="G145" s="41">
        <f t="shared" si="6"/>
        <v>0</v>
      </c>
      <c r="H145" s="1"/>
      <c r="I145" s="1"/>
      <c r="Q145" s="1"/>
      <c r="R145" s="1"/>
      <c r="S145" s="1"/>
      <c r="T145" s="1"/>
      <c r="U145" s="1"/>
      <c r="V145" s="1"/>
      <c r="W145" s="1"/>
    </row>
    <row r="146" spans="2:23" ht="16" thickBot="1" x14ac:dyDescent="0.4">
      <c r="B146" s="39" t="s">
        <v>190</v>
      </c>
      <c r="C146" s="28">
        <f>IF($B$5=INDEX($B$6:$B$7,1,1),C44,'investissement réel'!C17)</f>
        <v>2</v>
      </c>
      <c r="D146" s="114">
        <f>IF($B$5=INDEX($B$6:$B$7,1,1),D44,'investissement réel'!D17)</f>
        <v>0</v>
      </c>
      <c r="E146" s="28"/>
      <c r="F146" s="40"/>
      <c r="G146" s="41"/>
      <c r="H146" s="1"/>
      <c r="I146" s="1"/>
      <c r="Q146" s="1"/>
      <c r="R146" s="1"/>
      <c r="S146" s="1"/>
      <c r="T146" s="1"/>
      <c r="U146" s="1"/>
      <c r="V146" s="1"/>
      <c r="W146" s="1"/>
    </row>
    <row r="147" spans="2:23" ht="16" thickBot="1" x14ac:dyDescent="0.4">
      <c r="B147" s="39" t="s">
        <v>191</v>
      </c>
      <c r="C147" s="28">
        <f>IF($B$5=INDEX($B$6:$B$7,1,1),C37,'investissement réel'!C18)</f>
        <v>2</v>
      </c>
      <c r="D147" s="114">
        <f>IF($B$5=INDEX($B$6:$B$7,1,1),D37,'investissement réel'!D18)</f>
        <v>100000</v>
      </c>
      <c r="E147" s="28">
        <v>1</v>
      </c>
      <c r="F147" s="40">
        <f t="shared" si="5"/>
        <v>200000</v>
      </c>
      <c r="G147" s="41">
        <f t="shared" si="6"/>
        <v>200000</v>
      </c>
      <c r="H147" s="1"/>
      <c r="I147" s="1"/>
      <c r="Q147" s="1"/>
      <c r="R147" s="1"/>
      <c r="S147" s="1"/>
      <c r="T147" s="1"/>
      <c r="U147" s="1"/>
      <c r="V147" s="1"/>
      <c r="W147" s="1"/>
    </row>
    <row r="148" spans="2:23" ht="16" thickBot="1" x14ac:dyDescent="0.4">
      <c r="B148" s="39" t="s">
        <v>192</v>
      </c>
      <c r="C148" s="28">
        <f>IF($B$5=INDEX($B$6:$B$7,1,1),C38,'investissement réel'!C19)</f>
        <v>1</v>
      </c>
      <c r="D148" s="114">
        <f>IF($B$5=INDEX($B$6:$B$7,1,1),D38,'investissement réel'!D19)</f>
        <v>1000000</v>
      </c>
      <c r="E148" s="28">
        <v>0</v>
      </c>
      <c r="F148" s="40">
        <f t="shared" si="5"/>
        <v>1000000</v>
      </c>
      <c r="G148" s="41">
        <f t="shared" si="6"/>
        <v>0</v>
      </c>
      <c r="H148" s="1"/>
      <c r="I148" s="1"/>
      <c r="Q148" s="1"/>
      <c r="R148" s="1"/>
      <c r="S148" s="1"/>
      <c r="T148" s="1"/>
      <c r="U148" s="1"/>
      <c r="V148" s="1"/>
      <c r="W148" s="1"/>
    </row>
    <row r="149" spans="2:23" ht="16" thickBot="1" x14ac:dyDescent="0.4">
      <c r="B149" s="39" t="s">
        <v>193</v>
      </c>
      <c r="C149" s="113">
        <f>IF($B$5=INDEX($B$6:$B$7,1,1),C39,'investissement réel'!C20)</f>
        <v>1</v>
      </c>
      <c r="D149" s="114">
        <f>IF($B$5=INDEX($B$6:$B$7,1,1),D39,'investissement réel'!D20)</f>
        <v>1000000</v>
      </c>
      <c r="E149" s="113">
        <v>20</v>
      </c>
      <c r="F149" s="40">
        <f t="shared" si="5"/>
        <v>1000000</v>
      </c>
      <c r="G149" s="41">
        <v>0</v>
      </c>
      <c r="H149" s="1"/>
      <c r="I149" s="1"/>
      <c r="Q149" s="1"/>
      <c r="R149" s="1"/>
      <c r="S149" s="1"/>
      <c r="T149" s="1"/>
      <c r="U149" s="1"/>
      <c r="V149" s="1"/>
      <c r="W149" s="1"/>
    </row>
    <row r="150" spans="2:23" ht="16" thickBot="1" x14ac:dyDescent="0.4">
      <c r="B150" s="39" t="s">
        <v>194</v>
      </c>
      <c r="C150" s="113">
        <f>IF($B$5=INDEX($B$6:$B$7,1,1),C45,'investissement réel'!C21)</f>
        <v>0</v>
      </c>
      <c r="D150" s="114">
        <f>IF($B$5=INDEX($B$6:$B$7,1,1),D45,'investissement réel'!D21)</f>
        <v>0</v>
      </c>
      <c r="E150" s="113">
        <v>0</v>
      </c>
      <c r="F150" s="40">
        <f t="shared" si="5"/>
        <v>0</v>
      </c>
      <c r="G150" s="41">
        <v>0</v>
      </c>
      <c r="H150" s="1"/>
      <c r="I150" s="1"/>
      <c r="Q150" s="1"/>
      <c r="R150" s="1"/>
      <c r="S150" s="1"/>
      <c r="T150" s="1"/>
      <c r="U150" s="1"/>
      <c r="V150" s="1"/>
      <c r="W150" s="1"/>
    </row>
    <row r="151" spans="2:23" ht="16" thickBot="1" x14ac:dyDescent="0.4">
      <c r="B151" s="39" t="s">
        <v>195</v>
      </c>
      <c r="C151" s="113">
        <f>IF($B$5=INDEX($B$6:$B$7,1,1),C40,'investissement réel'!C22)</f>
        <v>1</v>
      </c>
      <c r="D151" s="114">
        <f>IF($B$5=INDEX($B$6:$B$7,1,1),D40,'investissement réel'!D22)</f>
        <v>750000</v>
      </c>
      <c r="E151" s="113">
        <v>0</v>
      </c>
      <c r="F151" s="40">
        <f t="shared" si="5"/>
        <v>750000</v>
      </c>
      <c r="G151" s="41">
        <v>0</v>
      </c>
      <c r="H151" s="1"/>
      <c r="I151" s="1"/>
      <c r="Q151" s="1"/>
      <c r="R151" s="1"/>
      <c r="S151" s="1"/>
      <c r="T151" s="1"/>
      <c r="U151" s="1"/>
      <c r="V151" s="1"/>
      <c r="W151" s="1"/>
    </row>
    <row r="152" spans="2:23" ht="16" thickBot="1" x14ac:dyDescent="0.4">
      <c r="B152" s="43" t="s">
        <v>169</v>
      </c>
      <c r="C152" s="44"/>
      <c r="D152" s="44"/>
      <c r="E152" s="44"/>
      <c r="F152" s="45">
        <f>SUM(F133:F151)</f>
        <v>18994871</v>
      </c>
      <c r="G152" s="223">
        <f>SUM(G133:G151)</f>
        <v>1588087.0999999999</v>
      </c>
      <c r="H152" s="224"/>
      <c r="I152" s="1"/>
      <c r="Q152" s="1"/>
      <c r="R152" s="1"/>
      <c r="S152" s="1"/>
      <c r="T152" s="1"/>
      <c r="U152" s="1"/>
      <c r="V152" s="1"/>
      <c r="W152" s="1"/>
    </row>
    <row r="153" spans="2:23" s="1" customFormat="1" x14ac:dyDescent="0.35"/>
    <row r="154" spans="2:23" s="1" customFormat="1" ht="21" x14ac:dyDescent="0.5">
      <c r="B154" s="7" t="s">
        <v>196</v>
      </c>
      <c r="C154" s="18"/>
      <c r="D154" s="18"/>
      <c r="E154" s="18"/>
      <c r="F154" s="19"/>
      <c r="G154" s="18"/>
      <c r="H154" s="18"/>
      <c r="I154" s="18"/>
      <c r="J154" s="18"/>
      <c r="K154" s="18"/>
      <c r="L154" s="18"/>
      <c r="M154" s="18"/>
      <c r="N154" s="18"/>
      <c r="O154" s="18"/>
    </row>
    <row r="155" spans="2:23" s="1" customFormat="1" x14ac:dyDescent="0.35"/>
    <row r="156" spans="2:23" s="1" customFormat="1" ht="16" thickBot="1" x14ac:dyDescent="0.4">
      <c r="B156" s="34" t="s">
        <v>197</v>
      </c>
    </row>
    <row r="157" spans="2:23" s="1" customFormat="1" ht="16" thickBot="1" x14ac:dyDescent="0.4">
      <c r="B157" s="47" t="s">
        <v>146</v>
      </c>
      <c r="C157" s="262" t="s">
        <v>147</v>
      </c>
      <c r="D157" s="263"/>
      <c r="E157" s="215" t="s">
        <v>148</v>
      </c>
      <c r="F157" s="48" t="s">
        <v>198</v>
      </c>
      <c r="G157" s="48" t="s">
        <v>372</v>
      </c>
      <c r="H157" s="1" t="s">
        <v>199</v>
      </c>
      <c r="K157" s="25">
        <v>0.01</v>
      </c>
    </row>
    <row r="158" spans="2:23" s="1" customFormat="1" ht="16" thickBot="1" x14ac:dyDescent="0.4">
      <c r="B158" s="49" t="s">
        <v>200</v>
      </c>
      <c r="C158" s="50">
        <f>F108</f>
        <v>633.13920000000007</v>
      </c>
      <c r="D158" s="50" t="str">
        <f t="shared" ref="C158:D160" si="11">G108</f>
        <v>Litres</v>
      </c>
      <c r="E158" s="51">
        <v>37786</v>
      </c>
      <c r="F158" s="52">
        <f>C158*E158</f>
        <v>23923797.811200004</v>
      </c>
      <c r="G158" s="52">
        <f>F158/12</f>
        <v>1993649.8176000004</v>
      </c>
    </row>
    <row r="159" spans="2:23" s="1" customFormat="1" ht="16" thickBot="1" x14ac:dyDescent="0.4">
      <c r="B159" s="53" t="s">
        <v>201</v>
      </c>
      <c r="C159" s="50">
        <f t="shared" si="11"/>
        <v>464.89599999999996</v>
      </c>
      <c r="D159" s="50" t="str">
        <f t="shared" si="11"/>
        <v>Litres</v>
      </c>
      <c r="E159" s="51">
        <v>58573</v>
      </c>
      <c r="F159" s="52">
        <f>C159*E159</f>
        <v>27230353.407999996</v>
      </c>
      <c r="G159" s="52">
        <f t="shared" ref="G159:G160" si="12">F159/12</f>
        <v>2269196.117333333</v>
      </c>
    </row>
    <row r="160" spans="2:23" s="1" customFormat="1" ht="16" thickBot="1" x14ac:dyDescent="0.4">
      <c r="B160" s="53" t="s">
        <v>202</v>
      </c>
      <c r="C160" s="50">
        <f>F110</f>
        <v>8524.8000000000011</v>
      </c>
      <c r="D160" s="50" t="str">
        <f t="shared" si="11"/>
        <v>Kilos</v>
      </c>
      <c r="E160" s="51">
        <v>150</v>
      </c>
      <c r="F160" s="52">
        <f>C160*E160</f>
        <v>1278720.0000000002</v>
      </c>
      <c r="G160" s="52">
        <f t="shared" si="12"/>
        <v>106560.00000000001</v>
      </c>
    </row>
    <row r="161" spans="2:23" s="1" customFormat="1" ht="16" thickBot="1" x14ac:dyDescent="0.4">
      <c r="B161" s="54" t="s">
        <v>203</v>
      </c>
      <c r="C161" s="55"/>
      <c r="D161" s="55"/>
      <c r="E161" s="55"/>
      <c r="F161" s="45">
        <f>SUM(F158:F160)</f>
        <v>52432871.2192</v>
      </c>
      <c r="G161" s="45">
        <f>SUM(G158:G160)</f>
        <v>4369405.9349333337</v>
      </c>
    </row>
    <row r="162" spans="2:23" s="1" customFormat="1" x14ac:dyDescent="0.35">
      <c r="B162" s="56"/>
      <c r="I162"/>
    </row>
    <row r="163" spans="2:23" s="1" customFormat="1" ht="21" x14ac:dyDescent="0.5">
      <c r="B163" s="7" t="s">
        <v>204</v>
      </c>
      <c r="C163" s="18"/>
      <c r="D163" s="18"/>
      <c r="E163" s="18"/>
      <c r="F163" s="19"/>
      <c r="G163" s="18"/>
      <c r="H163" s="18"/>
      <c r="I163" s="18"/>
      <c r="J163" s="18"/>
      <c r="K163" s="18"/>
      <c r="L163" s="18"/>
      <c r="M163" s="18"/>
      <c r="N163" s="18"/>
      <c r="O163" s="18"/>
    </row>
    <row r="164" spans="2:23" s="1" customFormat="1" x14ac:dyDescent="0.35"/>
    <row r="165" spans="2:23" s="1" customFormat="1" ht="16" thickBot="1" x14ac:dyDescent="0.4">
      <c r="B165" s="57" t="s">
        <v>205</v>
      </c>
      <c r="C165" s="34"/>
    </row>
    <row r="166" spans="2:23" s="1" customFormat="1" ht="40" customHeight="1" thickBot="1" x14ac:dyDescent="0.4">
      <c r="B166" s="36" t="s">
        <v>206</v>
      </c>
      <c r="C166" s="215" t="s">
        <v>207</v>
      </c>
      <c r="D166" s="37" t="s">
        <v>208</v>
      </c>
      <c r="E166" s="37" t="s">
        <v>209</v>
      </c>
    </row>
    <row r="167" spans="2:23" s="1" customFormat="1" ht="16" thickBot="1" x14ac:dyDescent="0.4">
      <c r="B167" s="39" t="s">
        <v>210</v>
      </c>
      <c r="C167" s="122" t="s">
        <v>211</v>
      </c>
      <c r="D167" s="114">
        <v>0</v>
      </c>
      <c r="E167" s="121">
        <v>1</v>
      </c>
    </row>
    <row r="168" spans="2:23" s="1" customFormat="1" ht="16" thickBot="1" x14ac:dyDescent="0.4">
      <c r="B168" s="39" t="s">
        <v>212</v>
      </c>
      <c r="C168" s="122" t="s">
        <v>211</v>
      </c>
      <c r="D168" s="114">
        <v>0</v>
      </c>
      <c r="E168" s="121">
        <v>1</v>
      </c>
    </row>
    <row r="169" spans="2:23" s="1" customFormat="1" ht="16" thickBot="1" x14ac:dyDescent="0.4">
      <c r="B169" s="39" t="s">
        <v>213</v>
      </c>
      <c r="C169" s="122" t="s">
        <v>211</v>
      </c>
      <c r="D169" s="114">
        <v>0</v>
      </c>
      <c r="E169" s="121">
        <v>1</v>
      </c>
    </row>
    <row r="170" spans="2:23" s="1" customFormat="1" ht="16" thickBot="1" x14ac:dyDescent="0.4">
      <c r="B170" s="39" t="s">
        <v>214</v>
      </c>
      <c r="C170" s="122" t="s">
        <v>215</v>
      </c>
      <c r="D170" s="114">
        <v>60</v>
      </c>
      <c r="E170" s="121">
        <v>0.6</v>
      </c>
    </row>
    <row r="171" spans="2:23" s="1" customFormat="1" ht="16" thickBot="1" x14ac:dyDescent="0.4">
      <c r="B171" s="39" t="s">
        <v>216</v>
      </c>
      <c r="C171" s="122" t="s">
        <v>215</v>
      </c>
      <c r="D171" s="114">
        <v>60</v>
      </c>
      <c r="E171" s="121">
        <v>0.4</v>
      </c>
    </row>
    <row r="172" spans="2:23" s="1" customFormat="1" ht="16" thickBot="1" x14ac:dyDescent="0.4">
      <c r="B172" s="39" t="s">
        <v>217</v>
      </c>
      <c r="C172" s="58"/>
      <c r="D172" s="114">
        <v>30</v>
      </c>
      <c r="E172" s="59"/>
    </row>
    <row r="173" spans="2:23" s="1" customFormat="1" ht="16" thickBot="1" x14ac:dyDescent="0.4">
      <c r="B173" s="39" t="s">
        <v>218</v>
      </c>
      <c r="C173" s="58"/>
      <c r="D173" s="114">
        <v>30</v>
      </c>
      <c r="E173" s="59"/>
    </row>
    <row r="174" spans="2:23" s="1" customFormat="1" ht="16" thickBot="1" x14ac:dyDescent="0.4">
      <c r="B174"/>
      <c r="C174"/>
    </row>
    <row r="175" spans="2:23" ht="16" thickBot="1" x14ac:dyDescent="0.4">
      <c r="B175" s="60" t="s">
        <v>219</v>
      </c>
      <c r="C175" s="61">
        <f>((D170*F161/365*E170)+(D171*F161/365*E171))</f>
        <v>8619102.1182246581</v>
      </c>
      <c r="D175" s="1"/>
      <c r="E175" s="1"/>
      <c r="F175" s="1"/>
      <c r="G175" s="1"/>
      <c r="H175" s="1"/>
      <c r="I175" s="1"/>
      <c r="Q175" s="1"/>
      <c r="R175" s="1"/>
      <c r="S175" s="1"/>
      <c r="T175" s="1"/>
      <c r="U175" s="1"/>
      <c r="V175" s="1"/>
      <c r="W175" s="1"/>
    </row>
    <row r="176" spans="2:23" ht="16" thickBot="1" x14ac:dyDescent="0.4">
      <c r="B176" s="60" t="s">
        <v>220</v>
      </c>
      <c r="C176" s="61">
        <f>((D167*F129*E167/365)+(D168*F129*E168/365)+(D169*F129*E169/365))*-1</f>
        <v>0</v>
      </c>
      <c r="D176" s="1"/>
      <c r="E176" s="1"/>
      <c r="F176" s="1"/>
      <c r="G176" s="1"/>
      <c r="H176" s="1"/>
      <c r="I176" s="1"/>
      <c r="Q176" s="1"/>
      <c r="R176" s="1"/>
      <c r="S176" s="1"/>
      <c r="T176" s="1"/>
      <c r="U176" s="1"/>
      <c r="V176" s="1"/>
      <c r="W176" s="1"/>
    </row>
    <row r="177" spans="2:35" ht="16" thickBot="1" x14ac:dyDescent="0.4">
      <c r="B177" s="60" t="s">
        <v>221</v>
      </c>
      <c r="C177" s="61">
        <f>F121*D172/365</f>
        <v>230794.5205479452</v>
      </c>
      <c r="D177" s="1"/>
      <c r="E177" s="1"/>
      <c r="F177" s="1"/>
      <c r="G177" s="1"/>
      <c r="H177" s="1"/>
      <c r="I177" s="1"/>
      <c r="J177" s="206"/>
      <c r="Q177" s="1"/>
      <c r="R177" s="1"/>
      <c r="S177" s="1"/>
      <c r="T177" s="1"/>
      <c r="U177" s="1"/>
      <c r="V177" s="1"/>
      <c r="W177" s="1"/>
    </row>
    <row r="178" spans="2:35" ht="16" thickBot="1" x14ac:dyDescent="0.4">
      <c r="B178" s="60" t="s">
        <v>222</v>
      </c>
      <c r="C178" s="61">
        <f>F158*D173/365</f>
        <v>1966339.5461260276</v>
      </c>
      <c r="D178" s="1"/>
      <c r="E178" s="1"/>
      <c r="F178" s="1"/>
      <c r="G178" s="1"/>
      <c r="H178" s="1"/>
      <c r="I178" s="1"/>
      <c r="Q178" s="1"/>
      <c r="R178" s="1"/>
      <c r="S178" s="1"/>
      <c r="T178" s="1"/>
      <c r="U178" s="1"/>
      <c r="V178" s="1"/>
      <c r="W178" s="1"/>
    </row>
    <row r="179" spans="2:35" ht="17.5" thickBot="1" x14ac:dyDescent="0.45">
      <c r="B179" s="62" t="s">
        <v>223</v>
      </c>
      <c r="C179" s="63">
        <f>SUM(C175:C178)</f>
        <v>10816236.18489863</v>
      </c>
      <c r="D179" s="1" t="s">
        <v>224</v>
      </c>
      <c r="E179" s="1"/>
      <c r="F179" s="1"/>
      <c r="G179" s="1"/>
      <c r="H179" s="1"/>
      <c r="I179" s="1"/>
      <c r="J179" s="206"/>
      <c r="Q179" s="1"/>
      <c r="R179" s="1"/>
      <c r="S179" s="1"/>
      <c r="T179" s="1"/>
      <c r="U179" s="1"/>
      <c r="V179" s="1"/>
      <c r="W179" s="1"/>
    </row>
    <row r="180" spans="2:35" x14ac:dyDescent="0.35">
      <c r="B180" s="1"/>
      <c r="C180" s="1"/>
      <c r="D180" s="1"/>
      <c r="E180" s="1"/>
      <c r="F180" s="1"/>
      <c r="G180" s="1"/>
      <c r="H180" s="1"/>
      <c r="I180" s="1"/>
      <c r="Q180" s="1"/>
      <c r="R180" s="1"/>
      <c r="S180" s="1"/>
      <c r="T180" s="1"/>
      <c r="U180" s="1"/>
      <c r="V180" s="1"/>
      <c r="W180" s="1"/>
    </row>
    <row r="181" spans="2:35" x14ac:dyDescent="0.35">
      <c r="B181" s="1"/>
      <c r="C181" s="1"/>
      <c r="D181" s="1"/>
      <c r="E181" s="1"/>
      <c r="F181" s="1"/>
      <c r="G181" s="1"/>
      <c r="H181" s="1"/>
      <c r="I181" s="1"/>
      <c r="Q181" s="1"/>
      <c r="R181" s="1"/>
      <c r="S181" s="1"/>
      <c r="T181" s="1"/>
      <c r="U181" s="1"/>
      <c r="V181" s="1"/>
      <c r="W181" s="1"/>
      <c r="AB181"/>
      <c r="AC181"/>
      <c r="AD181"/>
      <c r="AE181"/>
      <c r="AF181"/>
      <c r="AG181"/>
      <c r="AH181"/>
      <c r="AI181"/>
    </row>
    <row r="182" spans="2:35" ht="16" thickBot="1" x14ac:dyDescent="0.4">
      <c r="B182" s="34" t="s">
        <v>225</v>
      </c>
      <c r="C182" s="1"/>
      <c r="D182" s="1"/>
      <c r="E182" s="1"/>
      <c r="F182" s="34" t="s">
        <v>226</v>
      </c>
      <c r="G182" s="1"/>
      <c r="H182" s="1"/>
      <c r="I182" s="1"/>
      <c r="Q182" s="1"/>
      <c r="R182" s="1"/>
      <c r="S182" s="1"/>
      <c r="T182" s="1"/>
      <c r="U182" s="1"/>
      <c r="V182" s="1"/>
      <c r="W182" s="1"/>
      <c r="AB182"/>
      <c r="AC182"/>
      <c r="AD182"/>
      <c r="AE182"/>
      <c r="AF182"/>
      <c r="AG182"/>
      <c r="AH182"/>
      <c r="AI182"/>
    </row>
    <row r="183" spans="2:35" ht="37" customHeight="1" thickBot="1" x14ac:dyDescent="0.4">
      <c r="B183" s="64" t="s">
        <v>173</v>
      </c>
      <c r="C183" s="215" t="s">
        <v>227</v>
      </c>
      <c r="D183" s="48" t="s">
        <v>228</v>
      </c>
      <c r="E183" s="1"/>
      <c r="F183" s="65" t="s">
        <v>229</v>
      </c>
      <c r="G183" s="37" t="s">
        <v>230</v>
      </c>
      <c r="H183" s="37" t="s">
        <v>231</v>
      </c>
      <c r="I183" s="37" t="s">
        <v>232</v>
      </c>
      <c r="J183" s="37" t="s">
        <v>233</v>
      </c>
      <c r="K183" s="37" t="s">
        <v>281</v>
      </c>
      <c r="Q183" s="1"/>
      <c r="R183" s="1"/>
      <c r="S183" s="1"/>
      <c r="T183" s="1"/>
      <c r="U183" s="1"/>
      <c r="V183" s="1"/>
      <c r="W183" s="1"/>
      <c r="AA183"/>
      <c r="AB183"/>
      <c r="AC183"/>
      <c r="AD183"/>
      <c r="AE183"/>
      <c r="AF183"/>
      <c r="AG183"/>
      <c r="AH183"/>
      <c r="AI183"/>
    </row>
    <row r="184" spans="2:35" ht="16" thickBot="1" x14ac:dyDescent="0.4">
      <c r="B184" s="66" t="s">
        <v>234</v>
      </c>
      <c r="C184" s="67"/>
      <c r="D184" s="52">
        <f>F152</f>
        <v>18994871</v>
      </c>
      <c r="E184" s="1"/>
      <c r="F184" s="68">
        <f>IF(D191&gt;10,"nb an insuffisant",IF(D191&gt;=1,1,"-"))</f>
        <v>1</v>
      </c>
      <c r="G184" s="52">
        <f>SUMIFS('Remboursement Mensualités'!C$14:C$133,'Remboursement Mensualités'!$F$14:$F$133,'Table rentabilité'!$F184)</f>
        <v>11249474.409395704</v>
      </c>
      <c r="H184" s="52">
        <f>SUMIFS('Remboursement Mensualités'!D$14:D$133,'Remboursement Mensualités'!$F$14:$F$133,'Table rentabilité'!$F184)</f>
        <v>2140484.5829592594</v>
      </c>
      <c r="I184" s="52">
        <f>SUMIFS('Remboursement Mensualités'!E$14:E$133,'Remboursement Mensualités'!$F$14:$F$133,'Table rentabilité'!$F184)</f>
        <v>214330807.26774004</v>
      </c>
      <c r="J184" s="52">
        <f>SUMIFS('Remboursement Mensualités'!B$14:B$133,'Remboursement Mensualités'!$F$14:$F$133,'Table rentabilité'!$F184)</f>
        <v>13389958.992354961</v>
      </c>
      <c r="K184" s="249">
        <f>J184/12</f>
        <v>1115829.9160295802</v>
      </c>
      <c r="Q184" s="1"/>
      <c r="R184" s="1"/>
      <c r="S184" s="1"/>
      <c r="T184" s="1"/>
      <c r="U184" s="1"/>
      <c r="V184" s="1"/>
      <c r="W184" s="1"/>
      <c r="AA184"/>
      <c r="AB184"/>
      <c r="AC184"/>
      <c r="AD184"/>
      <c r="AE184"/>
      <c r="AF184"/>
      <c r="AG184"/>
      <c r="AH184"/>
      <c r="AI184"/>
    </row>
    <row r="185" spans="2:35" ht="16" thickBot="1" x14ac:dyDescent="0.4">
      <c r="B185" s="53" t="s">
        <v>235</v>
      </c>
      <c r="C185" s="69"/>
      <c r="D185" s="70">
        <f>C179</f>
        <v>10816236.18489863</v>
      </c>
      <c r="E185" s="1"/>
      <c r="F185" s="68">
        <f>IF(D191&gt;10,"nb an insuffisant",IF(D191&gt;=2,2,"-"))</f>
        <v>2</v>
      </c>
      <c r="G185" s="52">
        <f>SUMIFS('Remboursement Mensualités'!C$14:C$133,'Remboursement Mensualités'!$F$14:$F$133,'Table rentabilité'!$F185)</f>
        <v>12599411.3385232</v>
      </c>
      <c r="H185" s="52">
        <f>SUMIFS('Remboursement Mensualités'!D$14:D$133,'Remboursement Mensualités'!$F$14:$F$133,'Table rentabilité'!$F185)</f>
        <v>790547.65383176401</v>
      </c>
      <c r="I185" s="52">
        <f>SUMIFS('Remboursement Mensualités'!E$14:E$133,'Remboursement Mensualités'!$F$14:$F$133,'Table rentabilité'!$F185)</f>
        <v>70714415.750117108</v>
      </c>
      <c r="J185" s="52">
        <f>SUMIFS('Remboursement Mensualités'!B$14:B$133,'Remboursement Mensualités'!$F$14:$F$133,'Table rentabilité'!$F185)</f>
        <v>13389958.992354961</v>
      </c>
      <c r="K185" s="249">
        <f t="shared" ref="K185:K193" si="13">J185/12</f>
        <v>1115829.9160295802</v>
      </c>
      <c r="Q185" s="1"/>
      <c r="R185" s="1"/>
      <c r="S185" s="1"/>
      <c r="T185" s="1"/>
      <c r="U185" s="1"/>
      <c r="V185" s="1"/>
      <c r="W185" s="1"/>
      <c r="AA185"/>
      <c r="AB185"/>
      <c r="AC185"/>
      <c r="AD185"/>
      <c r="AE185"/>
      <c r="AF185"/>
      <c r="AG185"/>
      <c r="AH185"/>
      <c r="AI185"/>
    </row>
    <row r="186" spans="2:35" ht="16" thickBot="1" x14ac:dyDescent="0.4">
      <c r="B186" s="54" t="s">
        <v>236</v>
      </c>
      <c r="C186" s="71"/>
      <c r="D186" s="72">
        <f>SUM(D184:D185)</f>
        <v>29811107.18489863</v>
      </c>
      <c r="E186" s="1"/>
      <c r="F186" s="68" t="str">
        <f>IF(D191&gt;10,"nb an insuffisant",IF(D191&gt;=3,3,"-"))</f>
        <v>-</v>
      </c>
      <c r="G186" s="52">
        <f>SUMIFS('Remboursement Mensualités'!C$14:C$133,'Remboursement Mensualités'!$F$14:$F$133,'Table rentabilité'!$F186)</f>
        <v>0</v>
      </c>
      <c r="H186" s="52">
        <f>SUMIFS('Remboursement Mensualités'!D$14:D$133,'Remboursement Mensualités'!$F$14:$F$133,'Table rentabilité'!$F186)</f>
        <v>0</v>
      </c>
      <c r="I186" s="52">
        <f>SUMIFS('Remboursement Mensualités'!E$14:E$133,'Remboursement Mensualités'!$F$14:$F$133,'Table rentabilité'!$F186)</f>
        <v>0</v>
      </c>
      <c r="J186" s="52">
        <f>SUMIFS('Remboursement Mensualités'!B$14:B$133,'Remboursement Mensualités'!$F$14:$F$133,'Table rentabilité'!$F186)</f>
        <v>0</v>
      </c>
      <c r="K186" s="249">
        <f t="shared" si="13"/>
        <v>0</v>
      </c>
      <c r="Q186" s="1"/>
      <c r="R186" s="1"/>
      <c r="S186" s="1"/>
      <c r="T186" s="1"/>
      <c r="U186" s="1"/>
      <c r="V186" s="1"/>
      <c r="W186" s="1"/>
      <c r="AA186"/>
      <c r="AB186"/>
      <c r="AC186"/>
      <c r="AD186"/>
      <c r="AE186"/>
      <c r="AF186"/>
      <c r="AG186"/>
      <c r="AH186"/>
      <c r="AI186"/>
    </row>
    <row r="187" spans="2:35" ht="16" thickBot="1" x14ac:dyDescent="0.4">
      <c r="B187" s="73" t="s">
        <v>237</v>
      </c>
      <c r="C187" s="125">
        <v>0.2</v>
      </c>
      <c r="D187" s="74">
        <f>D186*C187</f>
        <v>5962221.436979726</v>
      </c>
      <c r="E187" s="1"/>
      <c r="F187" s="68" t="str">
        <f>IF(D191&gt;10,"nb an insuffisant",IF(D191&gt;=4,4,"-"))</f>
        <v>-</v>
      </c>
      <c r="G187" s="52">
        <f>SUMIFS('Remboursement Mensualités'!C$14:C$133,'Remboursement Mensualités'!$F$14:$F$133,'Table rentabilité'!$F187)</f>
        <v>0</v>
      </c>
      <c r="H187" s="52">
        <f>SUMIFS('Remboursement Mensualités'!D$14:D$133,'Remboursement Mensualités'!$F$14:$F$133,'Table rentabilité'!$F187)</f>
        <v>0</v>
      </c>
      <c r="I187" s="52">
        <f>SUMIFS('Remboursement Mensualités'!E$14:E$133,'Remboursement Mensualités'!$F$14:$F$133,'Table rentabilité'!$F187)</f>
        <v>0</v>
      </c>
      <c r="J187" s="52">
        <f>SUMIFS('Remboursement Mensualités'!B$14:B$133,'Remboursement Mensualités'!$F$14:$F$133,'Table rentabilité'!$F187)</f>
        <v>0</v>
      </c>
      <c r="K187" s="249">
        <f t="shared" si="13"/>
        <v>0</v>
      </c>
      <c r="Q187" s="1"/>
      <c r="R187" s="1"/>
      <c r="S187" s="1"/>
      <c r="T187" s="1"/>
      <c r="U187" s="1"/>
      <c r="V187" s="1"/>
      <c r="W187" s="1"/>
      <c r="AA187"/>
      <c r="AB187"/>
      <c r="AC187"/>
      <c r="AD187"/>
      <c r="AE187"/>
      <c r="AF187"/>
      <c r="AG187"/>
      <c r="AH187"/>
      <c r="AI187"/>
    </row>
    <row r="188" spans="2:35" ht="16" thickBot="1" x14ac:dyDescent="0.4">
      <c r="B188" s="75" t="s">
        <v>238</v>
      </c>
      <c r="C188" s="121">
        <v>0</v>
      </c>
      <c r="D188" s="40">
        <f>C188*D186</f>
        <v>0</v>
      </c>
      <c r="E188" s="1"/>
      <c r="F188" s="68" t="str">
        <f>IF(D191&gt;10,"nb an insuffisant",IF(D191&gt;=5,5,"-"))</f>
        <v>-</v>
      </c>
      <c r="G188" s="52">
        <f>SUMIFS('Remboursement Mensualités'!C$14:C$133,'Remboursement Mensualités'!$F$14:$F$133,'Table rentabilité'!$F188)</f>
        <v>0</v>
      </c>
      <c r="H188" s="52">
        <f>SUMIFS('Remboursement Mensualités'!D$14:D$133,'Remboursement Mensualités'!$F$14:$F$133,'Table rentabilité'!$F188)</f>
        <v>0</v>
      </c>
      <c r="I188" s="52">
        <f>SUMIFS('Remboursement Mensualités'!E$14:E$133,'Remboursement Mensualités'!$F$14:$F$133,'Table rentabilité'!$F188)</f>
        <v>0</v>
      </c>
      <c r="J188" s="52">
        <f>SUMIFS('Remboursement Mensualités'!B$14:B$133,'Remboursement Mensualités'!$F$14:$F$133,'Table rentabilité'!$F188)</f>
        <v>0</v>
      </c>
      <c r="K188" s="249">
        <f t="shared" si="13"/>
        <v>0</v>
      </c>
      <c r="Q188" s="1"/>
      <c r="R188" s="1"/>
      <c r="S188" s="1"/>
      <c r="T188" s="1"/>
      <c r="U188" s="1"/>
      <c r="V188" s="1"/>
      <c r="W188" s="1"/>
      <c r="AA188"/>
      <c r="AB188"/>
      <c r="AC188"/>
      <c r="AD188"/>
      <c r="AE188"/>
      <c r="AF188"/>
      <c r="AG188"/>
      <c r="AH188"/>
      <c r="AI188"/>
    </row>
    <row r="189" spans="2:35" ht="16" thickBot="1" x14ac:dyDescent="0.4">
      <c r="B189" s="75" t="s">
        <v>239</v>
      </c>
      <c r="C189" s="121">
        <f>100%-(C188+C187)</f>
        <v>0.8</v>
      </c>
      <c r="D189" s="45">
        <f>D186*C189</f>
        <v>23848885.747918904</v>
      </c>
      <c r="E189" s="1"/>
      <c r="F189" s="68" t="str">
        <f>IF(D191&gt;10,"nb an insuffisant",IF(D191&gt;=6,6,"-"))</f>
        <v>-</v>
      </c>
      <c r="G189" s="52">
        <f>SUMIFS('Remboursement Mensualités'!C$14:C$133,'Remboursement Mensualités'!$F$14:$F$133,'Table rentabilité'!$F189)</f>
        <v>0</v>
      </c>
      <c r="H189" s="52">
        <f>SUMIFS('Remboursement Mensualités'!D$14:D$133,'Remboursement Mensualités'!$F$14:$F$133,'Table rentabilité'!$F189)</f>
        <v>0</v>
      </c>
      <c r="I189" s="52">
        <f>SUMIFS('Remboursement Mensualités'!E$14:E$133,'Remboursement Mensualités'!$F$14:$F$133,'Table rentabilité'!$F189)</f>
        <v>0</v>
      </c>
      <c r="J189" s="52">
        <f>SUMIFS('Remboursement Mensualités'!B$14:B$133,'Remboursement Mensualités'!$F$14:$F$133,'Table rentabilité'!$F189)</f>
        <v>0</v>
      </c>
      <c r="K189" s="249">
        <f t="shared" si="13"/>
        <v>0</v>
      </c>
      <c r="Q189" s="1"/>
      <c r="R189" s="1"/>
      <c r="S189" s="1"/>
      <c r="T189" s="1"/>
      <c r="U189" s="1"/>
      <c r="V189" s="1"/>
      <c r="W189" s="1"/>
      <c r="AA189"/>
      <c r="AB189"/>
      <c r="AC189"/>
      <c r="AD189"/>
      <c r="AE189"/>
      <c r="AF189"/>
      <c r="AG189"/>
      <c r="AH189"/>
      <c r="AI189"/>
    </row>
    <row r="190" spans="2:35" ht="16" thickBot="1" x14ac:dyDescent="0.4">
      <c r="B190" s="75" t="s">
        <v>240</v>
      </c>
      <c r="C190" s="69"/>
      <c r="D190" s="123">
        <v>0.12</v>
      </c>
      <c r="E190" s="1"/>
      <c r="F190" s="68" t="str">
        <f>IF(D191&gt;10,"nb an insuffisant",IF(D191&gt;=7,7,"-"))</f>
        <v>-</v>
      </c>
      <c r="G190" s="52">
        <f>SUMIFS('Remboursement Mensualités'!C$14:C$133,'Remboursement Mensualités'!$F$14:$F$133,'Table rentabilité'!$F190)</f>
        <v>0</v>
      </c>
      <c r="H190" s="52">
        <f>SUMIFS('Remboursement Mensualités'!D$14:D$133,'Remboursement Mensualités'!$F$14:$F$133,'Table rentabilité'!$F190)</f>
        <v>0</v>
      </c>
      <c r="I190" s="52">
        <f>SUMIFS('Remboursement Mensualités'!E$14:E$133,'Remboursement Mensualités'!$F$14:$F$133,'Table rentabilité'!$F190)</f>
        <v>0</v>
      </c>
      <c r="J190" s="52">
        <f>SUMIFS('Remboursement Mensualités'!B$14:B$133,'Remboursement Mensualités'!$F$14:$F$133,'Table rentabilité'!$F190)</f>
        <v>0</v>
      </c>
      <c r="K190" s="249">
        <f t="shared" si="13"/>
        <v>0</v>
      </c>
      <c r="Q190" s="1"/>
      <c r="R190" s="1"/>
      <c r="S190" s="1"/>
      <c r="T190" s="1"/>
      <c r="U190" s="1"/>
      <c r="V190" s="1"/>
      <c r="W190" s="1"/>
      <c r="AA190"/>
      <c r="AB190"/>
      <c r="AC190"/>
      <c r="AD190"/>
      <c r="AE190"/>
      <c r="AF190"/>
      <c r="AG190"/>
      <c r="AH190"/>
      <c r="AI190"/>
    </row>
    <row r="191" spans="2:35" ht="16" thickBot="1" x14ac:dyDescent="0.4">
      <c r="B191" s="75" t="s">
        <v>241</v>
      </c>
      <c r="C191" s="71"/>
      <c r="D191" s="124">
        <v>2</v>
      </c>
      <c r="E191" s="1"/>
      <c r="F191" s="68" t="str">
        <f>IF(D191&gt;10,"nb an insuffisant",IF(D191&gt;=8,8,"-"))</f>
        <v>-</v>
      </c>
      <c r="G191" s="52">
        <f>SUMIFS('Remboursement Mensualités'!C$14:C$133,'Remboursement Mensualités'!$F$14:$F$133,'Table rentabilité'!$F191)</f>
        <v>0</v>
      </c>
      <c r="H191" s="52">
        <f>SUMIFS('Remboursement Mensualités'!D$14:D$133,'Remboursement Mensualités'!$F$14:$F$133,'Table rentabilité'!$F191)</f>
        <v>0</v>
      </c>
      <c r="I191" s="52">
        <f>SUMIFS('Remboursement Mensualités'!E$14:E$133,'Remboursement Mensualités'!$F$14:$F$133,'Table rentabilité'!$F191)</f>
        <v>0</v>
      </c>
      <c r="J191" s="52">
        <f>SUMIFS('Remboursement Mensualités'!B$14:B$133,'Remboursement Mensualités'!$F$14:$F$133,'Table rentabilité'!$F191)</f>
        <v>0</v>
      </c>
      <c r="K191" s="249">
        <f t="shared" si="13"/>
        <v>0</v>
      </c>
      <c r="Q191" s="1"/>
      <c r="R191" s="1"/>
      <c r="S191" s="1"/>
      <c r="T191" s="1"/>
      <c r="U191" s="1"/>
      <c r="V191" s="1"/>
      <c r="W191" s="1"/>
      <c r="AA191"/>
      <c r="AB191"/>
      <c r="AC191"/>
      <c r="AD191"/>
      <c r="AE191"/>
      <c r="AF191"/>
      <c r="AG191"/>
      <c r="AH191"/>
      <c r="AI191"/>
    </row>
    <row r="192" spans="2:35" s="1" customFormat="1" ht="16" thickBot="1" x14ac:dyDescent="0.4">
      <c r="F192" s="68" t="str">
        <f>IF(D191&gt;10,"nb an insuffisant",IF(D191&gt;=9,9,"-"))</f>
        <v>-</v>
      </c>
      <c r="G192" s="52">
        <f>SUMIFS('Remboursement Mensualités'!C$14:C$133,'Remboursement Mensualités'!$F$14:$F$133,'Table rentabilité'!$F192)</f>
        <v>0</v>
      </c>
      <c r="H192" s="52">
        <f>SUMIFS('Remboursement Mensualités'!D$14:D$133,'Remboursement Mensualités'!$F$14:$F$133,'Table rentabilité'!$F192)</f>
        <v>0</v>
      </c>
      <c r="I192" s="52">
        <f>SUMIFS('Remboursement Mensualités'!E$14:E$133,'Remboursement Mensualités'!$F$14:$F$133,'Table rentabilité'!$F192)</f>
        <v>0</v>
      </c>
      <c r="J192" s="52">
        <f>SUMIFS('Remboursement Mensualités'!B$14:B$133,'Remboursement Mensualités'!$F$14:$F$133,'Table rentabilité'!$F192)</f>
        <v>0</v>
      </c>
      <c r="K192" s="249">
        <f t="shared" si="13"/>
        <v>0</v>
      </c>
    </row>
    <row r="193" spans="2:35" s="1" customFormat="1" ht="16" thickBot="1" x14ac:dyDescent="0.4">
      <c r="F193" s="68" t="str">
        <f>IF(D191&gt;10,"nb an insuffisant",IF(D191&gt;=10,"Année 10","-"))</f>
        <v>-</v>
      </c>
      <c r="G193" s="52">
        <f>SUMIFS('Remboursement Mensualités'!C$14:C$133,'Remboursement Mensualités'!$F$14:$F$133,'Table rentabilité'!$F193)</f>
        <v>0</v>
      </c>
      <c r="H193" s="52">
        <f>SUMIFS('Remboursement Mensualités'!D$14:D$133,'Remboursement Mensualités'!$F$14:$F$133,'Table rentabilité'!$F193)</f>
        <v>0</v>
      </c>
      <c r="I193" s="52">
        <f>SUMIFS('Remboursement Mensualités'!E$14:E$133,'Remboursement Mensualités'!$F$14:$F$133,'Table rentabilité'!$F193)</f>
        <v>0</v>
      </c>
      <c r="J193" s="52">
        <f>SUMIFS('Remboursement Mensualités'!B$14:B$133,'Remboursement Mensualités'!$F$14:$F$133,'Table rentabilité'!$F193)</f>
        <v>0</v>
      </c>
      <c r="K193" s="249">
        <f t="shared" si="13"/>
        <v>0</v>
      </c>
    </row>
    <row r="194" spans="2:35" s="1" customFormat="1" ht="16" thickBot="1" x14ac:dyDescent="0.4">
      <c r="F194" s="68" t="s">
        <v>242</v>
      </c>
      <c r="G194" s="45">
        <f>SUM(G184:G193)</f>
        <v>23848885.747918904</v>
      </c>
      <c r="H194" s="45">
        <f>SUM(H184:H193)</f>
        <v>2931032.2367910235</v>
      </c>
      <c r="I194" s="45">
        <f>SUM(I184:I193)</f>
        <v>285045223.01785713</v>
      </c>
      <c r="J194" s="45">
        <f>SUM(J184:J193)</f>
        <v>26779917.984709922</v>
      </c>
      <c r="K194" s="45"/>
    </row>
    <row r="195" spans="2:35" s="1" customFormat="1" x14ac:dyDescent="0.35"/>
    <row r="196" spans="2:35" s="1" customFormat="1" x14ac:dyDescent="0.35"/>
    <row r="197" spans="2:35" s="1" customFormat="1" ht="21" x14ac:dyDescent="0.5">
      <c r="B197" s="7" t="s">
        <v>204</v>
      </c>
      <c r="C197" s="76"/>
      <c r="D197" s="76"/>
      <c r="E197" s="76"/>
      <c r="F197" s="76"/>
      <c r="G197" s="76"/>
      <c r="H197" s="76"/>
      <c r="I197" s="76"/>
      <c r="J197" s="76"/>
      <c r="K197" s="76"/>
      <c r="L197" s="76"/>
      <c r="M197" s="76"/>
      <c r="N197" s="76"/>
      <c r="O197" s="76"/>
    </row>
    <row r="198" spans="2:35" s="1" customFormat="1" ht="21" x14ac:dyDescent="0.5">
      <c r="B198" s="20"/>
    </row>
    <row r="199" spans="2:35" s="1" customFormat="1" ht="16" thickBot="1" x14ac:dyDescent="0.4">
      <c r="B199" s="34" t="s">
        <v>243</v>
      </c>
      <c r="D199" s="206"/>
    </row>
    <row r="200" spans="2:35" s="1" customFormat="1" ht="16" thickBot="1" x14ac:dyDescent="0.4">
      <c r="B200" s="77" t="s">
        <v>244</v>
      </c>
      <c r="C200" s="96">
        <v>0</v>
      </c>
      <c r="D200" s="96">
        <v>1</v>
      </c>
      <c r="E200" s="96">
        <v>2</v>
      </c>
      <c r="F200" s="96">
        <v>3</v>
      </c>
      <c r="G200" s="96">
        <v>4</v>
      </c>
      <c r="H200" s="96">
        <v>5</v>
      </c>
      <c r="I200" s="96">
        <v>6</v>
      </c>
      <c r="J200" s="96">
        <v>7</v>
      </c>
      <c r="K200" s="96">
        <v>8</v>
      </c>
      <c r="L200" s="96">
        <v>9</v>
      </c>
      <c r="M200" s="96" t="s">
        <v>78</v>
      </c>
    </row>
    <row r="201" spans="2:35" ht="16" thickBot="1" x14ac:dyDescent="0.4">
      <c r="B201" s="78" t="s">
        <v>245</v>
      </c>
      <c r="C201" s="103">
        <f>D189+D187</f>
        <v>29811107.18489863</v>
      </c>
      <c r="D201" s="103">
        <f>F161</f>
        <v>52432871.2192</v>
      </c>
      <c r="E201" s="103">
        <f>D201+($K$157*D201)</f>
        <v>52957199.931391999</v>
      </c>
      <c r="F201" s="103">
        <f>E201+($K$157*E201)</f>
        <v>53486771.93070592</v>
      </c>
      <c r="G201" s="103">
        <f t="shared" ref="G201:L201" si="14">F201+($K$157*F201)</f>
        <v>54021639.650012977</v>
      </c>
      <c r="H201" s="103">
        <f t="shared" si="14"/>
        <v>54561856.04651311</v>
      </c>
      <c r="I201" s="103">
        <f t="shared" si="14"/>
        <v>55107474.606978245</v>
      </c>
      <c r="J201" s="103">
        <f t="shared" si="14"/>
        <v>55658549.353048027</v>
      </c>
      <c r="K201" s="103">
        <f t="shared" si="14"/>
        <v>56215134.846578509</v>
      </c>
      <c r="L201" s="103">
        <f t="shared" si="14"/>
        <v>56777286.195044294</v>
      </c>
      <c r="M201" s="103">
        <f t="shared" ref="M201:M204" si="15">SUM(C201:L201)</f>
        <v>521029890.96437168</v>
      </c>
      <c r="Q201" s="1"/>
      <c r="R201" s="1"/>
      <c r="S201" s="1"/>
      <c r="T201" s="1"/>
      <c r="U201" s="1"/>
      <c r="V201" s="1"/>
      <c r="W201" s="1"/>
      <c r="AC201"/>
      <c r="AD201"/>
      <c r="AE201"/>
      <c r="AF201"/>
      <c r="AG201"/>
      <c r="AH201"/>
      <c r="AI201"/>
    </row>
    <row r="202" spans="2:35" ht="16" thickBot="1" x14ac:dyDescent="0.4">
      <c r="B202" s="78" t="s">
        <v>246</v>
      </c>
      <c r="C202" s="103">
        <f>D184</f>
        <v>18994871</v>
      </c>
      <c r="D202" s="103">
        <f>IF($F$115&gt;D$200,$F$129,$G$129)</f>
        <v>19746730.5984</v>
      </c>
      <c r="E202" s="103">
        <f>IF($F$115&gt;E$200,$F$129+(D202*$L$120),IF($F$115=E$200,$G$129+(D202*$L$120),IF($F$115&lt;E$200,D202+(D202*$L$120))))</f>
        <v>19944197.904384002</v>
      </c>
      <c r="F202" s="103">
        <f t="shared" ref="E202:M202" si="16">IF($F$115&gt;F$200,$F$129+(E202*$L$120),IF($F$115=F$200,$G$129+(E202*$L$120),IF($F$115&lt;F$200,E202+(E202*$L$120))))</f>
        <v>20143639.883427843</v>
      </c>
      <c r="G202" s="103">
        <f t="shared" si="16"/>
        <v>20345076.28226212</v>
      </c>
      <c r="H202" s="103">
        <f t="shared" si="16"/>
        <v>20548527.045084741</v>
      </c>
      <c r="I202" s="103">
        <f t="shared" si="16"/>
        <v>20754012.31553559</v>
      </c>
      <c r="J202" s="103">
        <f t="shared" si="16"/>
        <v>20961552.438690946</v>
      </c>
      <c r="K202" s="103">
        <f t="shared" si="16"/>
        <v>21171167.963077854</v>
      </c>
      <c r="L202" s="103">
        <f t="shared" si="16"/>
        <v>21382879.642708633</v>
      </c>
      <c r="M202" s="103">
        <f t="shared" si="16"/>
        <v>21596708.439135719</v>
      </c>
      <c r="Q202" s="1"/>
      <c r="R202" s="1"/>
      <c r="S202" s="1"/>
      <c r="T202" s="1"/>
      <c r="U202" s="1"/>
      <c r="V202" s="1"/>
      <c r="W202" s="1"/>
      <c r="AC202"/>
      <c r="AD202"/>
      <c r="AE202"/>
      <c r="AF202"/>
      <c r="AG202"/>
      <c r="AH202"/>
      <c r="AI202"/>
    </row>
    <row r="203" spans="2:35" ht="16" thickBot="1" x14ac:dyDescent="0.4">
      <c r="B203" s="78" t="s">
        <v>247</v>
      </c>
      <c r="C203" s="103">
        <v>0</v>
      </c>
      <c r="D203" s="103">
        <f>$G$152</f>
        <v>1588087.0999999999</v>
      </c>
      <c r="E203" s="103">
        <f t="shared" ref="E203:L203" si="17">$G$152</f>
        <v>1588087.0999999999</v>
      </c>
      <c r="F203" s="103">
        <f t="shared" si="17"/>
        <v>1588087.0999999999</v>
      </c>
      <c r="G203" s="103">
        <f t="shared" si="17"/>
        <v>1588087.0999999999</v>
      </c>
      <c r="H203" s="103">
        <f t="shared" si="17"/>
        <v>1588087.0999999999</v>
      </c>
      <c r="I203" s="103">
        <f t="shared" si="17"/>
        <v>1588087.0999999999</v>
      </c>
      <c r="J203" s="103">
        <f t="shared" si="17"/>
        <v>1588087.0999999999</v>
      </c>
      <c r="K203" s="103">
        <f t="shared" si="17"/>
        <v>1588087.0999999999</v>
      </c>
      <c r="L203" s="103">
        <f t="shared" si="17"/>
        <v>1588087.0999999999</v>
      </c>
      <c r="M203" s="103">
        <f t="shared" si="15"/>
        <v>14292783.899999999</v>
      </c>
      <c r="Q203" s="1"/>
      <c r="R203" s="1"/>
      <c r="S203" s="1"/>
      <c r="T203" s="1"/>
      <c r="U203" s="1"/>
      <c r="V203" s="1"/>
      <c r="W203" s="1"/>
      <c r="AC203"/>
      <c r="AD203"/>
      <c r="AE203"/>
      <c r="AF203"/>
      <c r="AG203"/>
      <c r="AH203"/>
      <c r="AI203"/>
    </row>
    <row r="204" spans="2:35" ht="16" thickBot="1" x14ac:dyDescent="0.4">
      <c r="B204" s="78" t="s">
        <v>248</v>
      </c>
      <c r="C204" s="103">
        <v>0</v>
      </c>
      <c r="D204" s="103">
        <f>IFERROR(INDEX($J$184:$J$193,MATCH(D200,$F$184:$F$193,0)),0)</f>
        <v>13389958.992354961</v>
      </c>
      <c r="E204" s="103">
        <f t="shared" ref="E204:L204" si="18">IFERROR(INDEX($J$184:$J$193,MATCH(E200,$F$184:$F$193,0)),0)</f>
        <v>13389958.992354961</v>
      </c>
      <c r="F204" s="103">
        <f t="shared" si="18"/>
        <v>0</v>
      </c>
      <c r="G204" s="103">
        <f t="shared" si="18"/>
        <v>0</v>
      </c>
      <c r="H204" s="103">
        <f t="shared" si="18"/>
        <v>0</v>
      </c>
      <c r="I204" s="103">
        <f t="shared" si="18"/>
        <v>0</v>
      </c>
      <c r="J204" s="103">
        <f t="shared" si="18"/>
        <v>0</v>
      </c>
      <c r="K204" s="103">
        <f t="shared" si="18"/>
        <v>0</v>
      </c>
      <c r="L204" s="103">
        <f t="shared" si="18"/>
        <v>0</v>
      </c>
      <c r="M204" s="103">
        <f t="shared" si="15"/>
        <v>26779917.984709922</v>
      </c>
      <c r="Q204" s="1"/>
      <c r="R204" s="1"/>
      <c r="S204" s="1"/>
      <c r="T204" s="1"/>
      <c r="U204" s="1"/>
      <c r="V204" s="1"/>
      <c r="W204" s="1"/>
      <c r="AC204"/>
      <c r="AD204"/>
      <c r="AE204"/>
      <c r="AF204"/>
      <c r="AG204"/>
      <c r="AH204"/>
      <c r="AI204"/>
    </row>
    <row r="205" spans="2:35" ht="16" thickBot="1" x14ac:dyDescent="0.4">
      <c r="B205" s="79" t="s">
        <v>249</v>
      </c>
      <c r="C205" s="46">
        <v>0</v>
      </c>
      <c r="D205" s="46">
        <f>D201-SUM(D202:D204)</f>
        <v>17708094.528445035</v>
      </c>
      <c r="E205" s="46">
        <f t="shared" ref="E205:L205" si="19">E201-SUM(E202:E204)</f>
        <v>18034955.934653036</v>
      </c>
      <c r="F205" s="46">
        <f t="shared" si="19"/>
        <v>31755044.947278075</v>
      </c>
      <c r="G205" s="46">
        <f t="shared" si="19"/>
        <v>32088476.267750856</v>
      </c>
      <c r="H205" s="46">
        <f t="shared" si="19"/>
        <v>32425241.901428368</v>
      </c>
      <c r="I205" s="46">
        <f t="shared" si="19"/>
        <v>32765375.191442654</v>
      </c>
      <c r="J205" s="46">
        <f t="shared" si="19"/>
        <v>33108909.81435708</v>
      </c>
      <c r="K205" s="46">
        <f t="shared" si="19"/>
        <v>33455879.783500653</v>
      </c>
      <c r="L205" s="46">
        <f t="shared" si="19"/>
        <v>33806319.452335656</v>
      </c>
      <c r="M205" s="46">
        <f>SUM(C205:L205)</f>
        <v>265148297.8211914</v>
      </c>
      <c r="Q205" s="1"/>
      <c r="R205" s="1"/>
      <c r="S205" s="1"/>
      <c r="T205" s="1"/>
      <c r="U205" s="1"/>
      <c r="V205" s="1"/>
      <c r="W205" s="1"/>
      <c r="AC205"/>
      <c r="AD205"/>
      <c r="AE205"/>
      <c r="AF205"/>
      <c r="AG205"/>
      <c r="AH205"/>
      <c r="AI205"/>
    </row>
    <row r="206" spans="2:35" ht="16" thickBot="1" x14ac:dyDescent="0.4">
      <c r="B206" s="78" t="s">
        <v>250</v>
      </c>
      <c r="C206" s="106">
        <v>0</v>
      </c>
      <c r="D206" s="106">
        <f>IF(D205&lt;0,0,0.3*D205)</f>
        <v>5312428.35853351</v>
      </c>
      <c r="E206" s="106">
        <f t="shared" ref="E206:L206" si="20">IF(E205&lt;0,0,0.3*E205)</f>
        <v>5410486.7803959111</v>
      </c>
      <c r="F206" s="106">
        <f t="shared" si="20"/>
        <v>9526513.4841834214</v>
      </c>
      <c r="G206" s="106">
        <f t="shared" si="20"/>
        <v>9626542.8803252559</v>
      </c>
      <c r="H206" s="106">
        <f t="shared" si="20"/>
        <v>9727572.5704285093</v>
      </c>
      <c r="I206" s="106">
        <f t="shared" si="20"/>
        <v>9829612.5574327949</v>
      </c>
      <c r="J206" s="106">
        <f t="shared" si="20"/>
        <v>9932672.9443071242</v>
      </c>
      <c r="K206" s="106">
        <f t="shared" si="20"/>
        <v>10036763.935050195</v>
      </c>
      <c r="L206" s="106">
        <f t="shared" si="20"/>
        <v>10141895.835700696</v>
      </c>
      <c r="M206" s="106">
        <f t="shared" ref="M206:M207" si="21">SUM(C206:L206)</f>
        <v>79544489.346357405</v>
      </c>
      <c r="Q206" s="1"/>
      <c r="R206" s="1"/>
      <c r="S206" s="1"/>
      <c r="T206" s="1"/>
      <c r="U206" s="1"/>
      <c r="V206" s="1"/>
      <c r="W206" s="1"/>
      <c r="AC206"/>
      <c r="AD206"/>
      <c r="AE206"/>
      <c r="AF206"/>
      <c r="AG206"/>
      <c r="AH206"/>
      <c r="AI206"/>
    </row>
    <row r="207" spans="2:35" ht="16" thickBot="1" x14ac:dyDescent="0.4">
      <c r="B207" s="79" t="s">
        <v>251</v>
      </c>
      <c r="C207" s="46">
        <v>0</v>
      </c>
      <c r="D207" s="46">
        <f>D205-D206</f>
        <v>12395666.169911526</v>
      </c>
      <c r="E207" s="46">
        <f t="shared" ref="E207:L207" si="22">E205-E206</f>
        <v>12624469.154257126</v>
      </c>
      <c r="F207" s="46">
        <f t="shared" si="22"/>
        <v>22228531.463094652</v>
      </c>
      <c r="G207" s="46">
        <f t="shared" si="22"/>
        <v>22461933.387425601</v>
      </c>
      <c r="H207" s="46">
        <f t="shared" si="22"/>
        <v>22697669.330999859</v>
      </c>
      <c r="I207" s="46">
        <f t="shared" si="22"/>
        <v>22935762.63400986</v>
      </c>
      <c r="J207" s="46">
        <f t="shared" si="22"/>
        <v>23176236.870049953</v>
      </c>
      <c r="K207" s="46">
        <f t="shared" si="22"/>
        <v>23419115.84845046</v>
      </c>
      <c r="L207" s="46">
        <f t="shared" si="22"/>
        <v>23664423.616634957</v>
      </c>
      <c r="M207" s="46">
        <f t="shared" si="21"/>
        <v>185603808.474834</v>
      </c>
      <c r="Q207" s="1"/>
      <c r="R207" s="1"/>
      <c r="S207" s="1"/>
      <c r="T207" s="1"/>
      <c r="U207" s="1"/>
      <c r="V207" s="1"/>
      <c r="W207" s="1"/>
      <c r="AC207"/>
      <c r="AD207"/>
      <c r="AE207"/>
      <c r="AF207"/>
      <c r="AG207"/>
      <c r="AH207"/>
      <c r="AI207"/>
    </row>
    <row r="208" spans="2:35" ht="16" thickBot="1" x14ac:dyDescent="0.4">
      <c r="B208" s="79" t="s">
        <v>252</v>
      </c>
      <c r="C208" s="46">
        <f>C201-C202</f>
        <v>10816236.18489863</v>
      </c>
      <c r="D208" s="46">
        <f t="shared" ref="D208:L208" si="23">C208+D207</f>
        <v>23211902.354810156</v>
      </c>
      <c r="E208" s="46">
        <f t="shared" si="23"/>
        <v>35836371.509067282</v>
      </c>
      <c r="F208" s="46">
        <f>E208+F207</f>
        <v>58064902.972161934</v>
      </c>
      <c r="G208" s="46">
        <f t="shared" si="23"/>
        <v>80526836.359587535</v>
      </c>
      <c r="H208" s="46">
        <f t="shared" si="23"/>
        <v>103224505.6905874</v>
      </c>
      <c r="I208" s="46">
        <f t="shared" si="23"/>
        <v>126160268.32459727</v>
      </c>
      <c r="J208" s="46">
        <f t="shared" si="23"/>
        <v>149336505.19464722</v>
      </c>
      <c r="K208" s="46">
        <f t="shared" si="23"/>
        <v>172755621.04309767</v>
      </c>
      <c r="L208" s="46">
        <f t="shared" si="23"/>
        <v>196420044.65973264</v>
      </c>
      <c r="M208" s="46"/>
      <c r="Q208" s="1"/>
      <c r="R208" s="1"/>
      <c r="S208" s="1"/>
      <c r="T208" s="1"/>
      <c r="U208" s="1"/>
      <c r="V208" s="1"/>
      <c r="W208" s="1"/>
      <c r="AC208"/>
      <c r="AD208"/>
      <c r="AE208"/>
      <c r="AF208"/>
      <c r="AG208"/>
      <c r="AH208"/>
      <c r="AI208"/>
    </row>
    <row r="209" spans="2:35" ht="16" thickBot="1" x14ac:dyDescent="0.4">
      <c r="B209" s="79" t="s">
        <v>253</v>
      </c>
      <c r="C209" s="102">
        <v>0</v>
      </c>
      <c r="D209" s="102">
        <f t="shared" ref="D209:L209" si="24">D207+D204-($H$194/$D$191)</f>
        <v>24320109.043870974</v>
      </c>
      <c r="E209" s="102">
        <f t="shared" si="24"/>
        <v>24548912.028216574</v>
      </c>
      <c r="F209" s="102">
        <f t="shared" si="24"/>
        <v>20763015.344699141</v>
      </c>
      <c r="G209" s="102">
        <f t="shared" si="24"/>
        <v>20996417.26903009</v>
      </c>
      <c r="H209" s="102">
        <f t="shared" si="24"/>
        <v>21232153.212604348</v>
      </c>
      <c r="I209" s="102">
        <f t="shared" si="24"/>
        <v>21470246.515614349</v>
      </c>
      <c r="J209" s="102">
        <f t="shared" si="24"/>
        <v>21710720.751654442</v>
      </c>
      <c r="K209" s="102">
        <f t="shared" si="24"/>
        <v>21953599.730054948</v>
      </c>
      <c r="L209" s="102">
        <f t="shared" si="24"/>
        <v>22198907.498239446</v>
      </c>
      <c r="M209" s="102"/>
      <c r="Q209" s="1"/>
      <c r="R209" s="1"/>
      <c r="S209" s="1"/>
      <c r="T209" s="1"/>
      <c r="U209" s="1"/>
      <c r="V209" s="1"/>
      <c r="W209" s="1"/>
      <c r="AC209"/>
      <c r="AD209"/>
      <c r="AE209"/>
      <c r="AF209"/>
      <c r="AG209"/>
      <c r="AH209"/>
      <c r="AI209"/>
    </row>
    <row r="210" spans="2:35" ht="16" thickBot="1" x14ac:dyDescent="0.4">
      <c r="B210" s="79" t="s">
        <v>254</v>
      </c>
      <c r="C210" s="102">
        <f>-C202</f>
        <v>-18994871</v>
      </c>
      <c r="D210" s="102">
        <f>C210+D209</f>
        <v>5325238.0438709743</v>
      </c>
      <c r="E210" s="102">
        <f t="shared" ref="E210:L210" si="25">D210+E209</f>
        <v>29874150.072087549</v>
      </c>
      <c r="F210" s="102">
        <f>E210+F209</f>
        <v>50637165.416786686</v>
      </c>
      <c r="G210" s="102">
        <f t="shared" si="25"/>
        <v>71633582.68581678</v>
      </c>
      <c r="H210" s="102">
        <f t="shared" si="25"/>
        <v>92865735.898421124</v>
      </c>
      <c r="I210" s="102">
        <f t="shared" si="25"/>
        <v>114335982.41403547</v>
      </c>
      <c r="J210" s="102">
        <f t="shared" si="25"/>
        <v>136046703.16568992</v>
      </c>
      <c r="K210" s="102">
        <f t="shared" si="25"/>
        <v>158000302.89574486</v>
      </c>
      <c r="L210" s="102">
        <f t="shared" si="25"/>
        <v>180199210.39398432</v>
      </c>
      <c r="M210" s="102"/>
      <c r="Q210" s="1"/>
      <c r="R210" s="1"/>
      <c r="S210" s="1"/>
      <c r="T210" s="1"/>
      <c r="U210" s="1"/>
      <c r="V210" s="1"/>
      <c r="W210" s="1"/>
      <c r="AC210"/>
      <c r="AD210"/>
      <c r="AE210"/>
      <c r="AF210"/>
      <c r="AG210"/>
      <c r="AH210"/>
      <c r="AI210"/>
    </row>
    <row r="211" spans="2:35" x14ac:dyDescent="0.35">
      <c r="B211" s="1"/>
      <c r="C211" s="112"/>
      <c r="D211" s="112"/>
      <c r="E211" s="112"/>
      <c r="F211" s="112"/>
      <c r="G211" s="112"/>
      <c r="H211" s="112"/>
      <c r="I211" s="112"/>
      <c r="J211" s="112"/>
      <c r="K211" s="112"/>
      <c r="L211" s="112"/>
      <c r="Q211" s="1"/>
      <c r="R211" s="1"/>
      <c r="S211" s="1"/>
      <c r="T211" s="1"/>
      <c r="U211" s="1"/>
      <c r="V211" s="1"/>
      <c r="W211" s="1"/>
      <c r="AB211"/>
      <c r="AC211"/>
      <c r="AD211"/>
      <c r="AE211"/>
      <c r="AF211"/>
      <c r="AG211"/>
      <c r="AH211"/>
      <c r="AI211"/>
    </row>
    <row r="212" spans="2:35" x14ac:dyDescent="0.35">
      <c r="B212" s="1"/>
      <c r="D212" s="1"/>
      <c r="E212" s="1"/>
      <c r="F212" s="1"/>
      <c r="G212" s="1"/>
      <c r="H212" s="1"/>
      <c r="I212" s="1"/>
      <c r="Q212" s="1"/>
      <c r="R212" s="1"/>
      <c r="S212" s="1"/>
      <c r="T212" s="1"/>
      <c r="U212" s="1"/>
      <c r="V212" s="1"/>
      <c r="W212" s="1"/>
      <c r="AB212"/>
      <c r="AC212"/>
      <c r="AD212"/>
      <c r="AE212"/>
      <c r="AF212"/>
      <c r="AG212"/>
      <c r="AH212"/>
      <c r="AI212"/>
    </row>
    <row r="213" spans="2:35" ht="21" x14ac:dyDescent="0.5">
      <c r="B213" s="7" t="s">
        <v>255</v>
      </c>
      <c r="C213" s="76"/>
      <c r="D213" s="76"/>
      <c r="E213" s="76"/>
      <c r="F213" s="76"/>
      <c r="G213" s="76"/>
      <c r="H213" s="76"/>
      <c r="I213" s="76"/>
      <c r="J213" s="76"/>
      <c r="K213" s="76"/>
      <c r="L213" s="76"/>
      <c r="M213" s="76"/>
      <c r="Q213" s="1"/>
      <c r="R213" s="1"/>
      <c r="S213" s="1"/>
      <c r="T213" s="1"/>
      <c r="U213" s="1"/>
      <c r="V213" s="1"/>
      <c r="W213" s="1"/>
      <c r="AB213"/>
      <c r="AC213"/>
      <c r="AD213"/>
      <c r="AE213"/>
      <c r="AF213"/>
      <c r="AG213"/>
      <c r="AH213"/>
      <c r="AI213"/>
    </row>
    <row r="214" spans="2:35" ht="16" thickBot="1" x14ac:dyDescent="0.4">
      <c r="B214" s="1"/>
      <c r="C214" s="1"/>
      <c r="D214" s="1"/>
      <c r="E214" s="1"/>
      <c r="F214" s="1"/>
      <c r="G214" s="1"/>
      <c r="H214" s="1"/>
      <c r="I214" s="1"/>
      <c r="Q214" s="1"/>
      <c r="R214" s="1"/>
      <c r="S214" s="1"/>
      <c r="T214" s="1"/>
      <c r="U214" s="1"/>
      <c r="V214" s="1"/>
      <c r="W214" s="1"/>
      <c r="AB214"/>
      <c r="AC214"/>
      <c r="AD214"/>
      <c r="AE214"/>
      <c r="AF214"/>
      <c r="AG214"/>
      <c r="AH214"/>
      <c r="AI214"/>
    </row>
    <row r="215" spans="2:35" ht="19" thickBot="1" x14ac:dyDescent="0.5">
      <c r="B215" s="101" t="s">
        <v>256</v>
      </c>
      <c r="C215" s="107">
        <f>NPV(F215,IF(D200&lt;=H215,D209,0),IF(E200&lt;=H215,E209,0),IF(F200&lt;=H215,F209,0),IF(G200&lt;=H215,G209,0),IF(H200&lt;=H215,H209,0),IF(I200&lt;=H215,I209,0),IF(J200&lt;=H215,J209,0),IF(K200&lt;=H215,K209,0),IF(L200&lt;=H215,L209,0))-D184</f>
        <v>138898856.42263782</v>
      </c>
      <c r="D215" s="1" t="s">
        <v>257</v>
      </c>
      <c r="E215" s="98" t="s">
        <v>258</v>
      </c>
      <c r="F215" s="110">
        <v>0.05</v>
      </c>
      <c r="G215" s="98" t="s">
        <v>259</v>
      </c>
      <c r="H215" s="111">
        <v>9</v>
      </c>
      <c r="N215" s="99">
        <f>-D184+IF(H215&gt;=D200,(D207+D204-H194/D191)*((1+F215)^-1),0)+IF(H215&gt;=E200,(E207+E204-H194/D191)*((1+F215)^-2),0)+IF(H215&gt;=F200,(F207+F204-H194/D191)*((1+F215)^-3),0)+IF(H215&gt;=G200,(G207+G204-H194/D191)*((1+F215)^-4),0)+IF(H215&gt;=H200,(H207+H204-H194/D191)*((1+F215)^-5),0)+IF(H215&gt;=I200,(I207+I204-H194/D191)*((1+F215)^-6),0)+IF(H215&gt;=J200,(J207+J204-H194/D191)*((1+F215)^-7),0)+IF(H215&gt;=K200,(K207+K204-H194/D191)*((1+F215)^-8),0)+IF(H215&gt;=L200,(L207+L204-H194/D191)*((1+F215)^-9),0)</f>
        <v>138898856.42263785</v>
      </c>
      <c r="O215" s="1" t="s">
        <v>260</v>
      </c>
      <c r="Q215" s="1"/>
      <c r="R215" s="1"/>
      <c r="S215" s="1"/>
      <c r="T215" s="1"/>
      <c r="U215" s="1"/>
      <c r="V215" s="1"/>
      <c r="W215" s="1"/>
      <c r="AB215"/>
      <c r="AC215"/>
      <c r="AD215"/>
      <c r="AE215"/>
      <c r="AF215"/>
      <c r="AG215"/>
      <c r="AH215"/>
      <c r="AI215"/>
    </row>
    <row r="216" spans="2:35" ht="19" thickBot="1" x14ac:dyDescent="0.5">
      <c r="B216" s="101" t="s">
        <v>261</v>
      </c>
      <c r="C216" s="108">
        <f>IRR(N216:W216)</f>
        <v>1.2474006369231287</v>
      </c>
      <c r="D216" s="1"/>
      <c r="E216" s="1"/>
      <c r="F216" s="1"/>
      <c r="G216" s="1"/>
      <c r="H216" s="1"/>
      <c r="I216" s="1"/>
      <c r="N216" s="100">
        <f>-D184</f>
        <v>-18994871</v>
      </c>
      <c r="O216" s="99">
        <f>IF(D200&lt;=H215,D209,0)</f>
        <v>24320109.043870974</v>
      </c>
      <c r="P216" s="99">
        <f>IF(E200&lt;=H215,E209,0)</f>
        <v>24548912.028216574</v>
      </c>
      <c r="Q216" s="99">
        <f>IF(F200&lt;=H215,F209,0)</f>
        <v>20763015.344699141</v>
      </c>
      <c r="R216" s="99">
        <f>IF(G200&lt;=H215,G209,0)</f>
        <v>20996417.26903009</v>
      </c>
      <c r="S216" s="99">
        <f>IF(H200&lt;=H215,H209,0)</f>
        <v>21232153.212604348</v>
      </c>
      <c r="T216" s="99">
        <f>IF(I200&lt;=H215,I209,0)</f>
        <v>21470246.515614349</v>
      </c>
      <c r="U216" s="99">
        <f>IF(J200&lt;=H215,J209,0)</f>
        <v>21710720.751654442</v>
      </c>
      <c r="V216" s="99">
        <f>IF(K200&lt;=H215,K209,0)</f>
        <v>21953599.730054948</v>
      </c>
      <c r="W216" s="99">
        <f>IF(L200&lt;=H215,L209,0)</f>
        <v>22198907.498239446</v>
      </c>
      <c r="AB216"/>
      <c r="AC216"/>
      <c r="AD216"/>
      <c r="AE216"/>
      <c r="AF216"/>
      <c r="AG216"/>
      <c r="AH216"/>
      <c r="AI216"/>
    </row>
    <row r="217" spans="2:35" ht="19" thickBot="1" x14ac:dyDescent="0.5">
      <c r="B217" s="101" t="s">
        <v>262</v>
      </c>
      <c r="C217" s="109">
        <f>SUM(O216:W216)/D184</f>
        <v>10.48672988587205</v>
      </c>
      <c r="D217" s="105" t="str">
        <f>"Pour 1000 CFA investis, on récupère "&amp;ROUND(N217,0)&amp;" CFA"</f>
        <v>Pour 1000 CFA investis, on récupère 9487 CFA</v>
      </c>
      <c r="E217" s="1"/>
      <c r="F217" s="1"/>
      <c r="G217" s="1"/>
      <c r="H217" s="1"/>
      <c r="I217" s="1"/>
      <c r="N217" s="104">
        <f>(C217-1)*1000</f>
        <v>9486.7298858720496</v>
      </c>
      <c r="Q217" s="1"/>
      <c r="R217" s="1"/>
      <c r="S217" s="1"/>
      <c r="T217" s="1"/>
      <c r="U217" s="1"/>
      <c r="V217" s="1"/>
      <c r="W217" s="1"/>
      <c r="AB217"/>
      <c r="AC217"/>
      <c r="AD217"/>
      <c r="AE217"/>
      <c r="AF217"/>
      <c r="AG217"/>
      <c r="AH217"/>
      <c r="AI217"/>
    </row>
    <row r="218" spans="2:35" ht="19" thickBot="1" x14ac:dyDescent="0.5">
      <c r="B218" s="101" t="s">
        <v>263</v>
      </c>
      <c r="C218" s="127">
        <f>N218+(-P218/(O218-P218))</f>
        <v>0.78103560167987762</v>
      </c>
      <c r="D218" s="1" t="str">
        <f>"Le délai de récupération est de "&amp;ROUNDDOWN(C218,0)&amp;" ans et "&amp;ROUNDDOWN((C218-ROUNDDOWN(C218,0))*12,0)&amp;" mois"</f>
        <v>Le délai de récupération est de 0 ans et 9 mois</v>
      </c>
      <c r="E218" s="1"/>
      <c r="F218" s="97"/>
      <c r="G218" s="1"/>
      <c r="H218" s="1"/>
      <c r="N218" s="99">
        <f>IF(AND(L210&lt;0,L200&lt;=H215),L200,IF(AND(K210&lt;0,K200&lt;=H215),K200,IF(AND(J210&lt;0,J200&lt;=H215),J200,IF(AND(I210&lt;0,I200&lt;=H215),I200,IF(AND(H210&lt;0,H200&lt;=H215),H200,IF(AND(G210&lt;0,G200&lt;=H215),G200,IF(AND(F210&lt;0,F200&lt;=H215),F200,IF(AND(E210&lt;0,E200&lt;=H215),E200,IF(AND(D210&lt;0,D200&lt;=H215),D200,IF(AND(C210&lt;0,C200&lt;=H215),C200))))))))))</f>
        <v>0</v>
      </c>
      <c r="O218" s="99">
        <f>INDEX(C210:L210,MATCH(INDEX(C200:L200,MATCH(P218,C210:L210,0))+1,C200:L200,0))</f>
        <v>5325238.0438709743</v>
      </c>
      <c r="P218" s="99">
        <f>IF(AND(L210&lt;0,L200&lt;=H215),L210,IF(AND(K210&lt;0,K200&lt;=H215),K210,IF(AND(J210&lt;0,J200&lt;=H215),J210,IF(AND(I210&lt;0,I200&lt;=H215),I210,IF(AND(H210&lt;0,H200&lt;=H215),H210,IF(AND(G210&lt;0,G200&lt;=H215),G210,IF(AND(F210&lt;0,F200&lt;=H215),F210,IF(AND(E210&lt;0,E200&lt;=H215),E210,IF(AND(D210&lt;0,D200&lt;=H215),D210,IF(AND(C210&lt;0,C200&lt;=H215),C210))))))))))</f>
        <v>-18994871</v>
      </c>
      <c r="Q218" s="1"/>
      <c r="R218" s="1"/>
      <c r="S218" s="1"/>
      <c r="T218" s="1"/>
      <c r="U218" s="1"/>
      <c r="V218" s="1"/>
      <c r="W218" s="1"/>
      <c r="AB218"/>
      <c r="AC218"/>
      <c r="AD218"/>
      <c r="AE218"/>
      <c r="AF218"/>
      <c r="AG218"/>
      <c r="AH218"/>
      <c r="AI218"/>
    </row>
    <row r="219" spans="2:35" ht="19" thickBot="1" x14ac:dyDescent="0.5">
      <c r="B219" s="101" t="s">
        <v>264</v>
      </c>
      <c r="C219" s="127">
        <f>(D201-D202)/(D204)</f>
        <v>2.4410934073406985</v>
      </c>
      <c r="D219" s="1"/>
      <c r="E219" s="1"/>
      <c r="F219" s="1"/>
      <c r="G219" s="1"/>
      <c r="H219" s="1"/>
      <c r="I219" s="1"/>
      <c r="Q219" s="1"/>
      <c r="R219" s="1"/>
      <c r="S219" s="1"/>
      <c r="T219" s="1"/>
      <c r="U219" s="1"/>
      <c r="V219" s="1"/>
      <c r="W219" s="1"/>
      <c r="AB219"/>
      <c r="AC219"/>
      <c r="AD219"/>
      <c r="AE219"/>
      <c r="AF219"/>
      <c r="AG219"/>
      <c r="AH219"/>
      <c r="AI219"/>
    </row>
    <row r="220" spans="2:35" x14ac:dyDescent="0.35">
      <c r="B220" s="1"/>
      <c r="C220" s="1"/>
      <c r="D220" s="1"/>
      <c r="E220" s="1"/>
      <c r="F220" s="1"/>
      <c r="G220" s="1"/>
      <c r="H220" s="1"/>
      <c r="I220" s="1"/>
      <c r="Q220" s="1"/>
      <c r="R220" s="1"/>
      <c r="S220" s="1"/>
      <c r="T220" s="1"/>
      <c r="U220" s="1"/>
      <c r="V220" s="1"/>
      <c r="W220" s="1"/>
      <c r="AB220"/>
      <c r="AC220"/>
      <c r="AD220"/>
      <c r="AE220"/>
      <c r="AF220"/>
      <c r="AG220"/>
      <c r="AH220"/>
      <c r="AI220"/>
    </row>
    <row r="221" spans="2:35" x14ac:dyDescent="0.35">
      <c r="B221" s="1"/>
      <c r="C221" s="1"/>
      <c r="D221" s="1"/>
      <c r="E221" s="1"/>
      <c r="F221" s="1"/>
      <c r="G221" s="1"/>
      <c r="H221" s="1"/>
      <c r="I221" s="1"/>
      <c r="Q221" s="1"/>
      <c r="R221" s="1"/>
      <c r="S221" s="1"/>
      <c r="T221" s="1"/>
      <c r="U221" s="1"/>
      <c r="V221" s="1"/>
      <c r="W221" s="1"/>
      <c r="AB221"/>
      <c r="AC221"/>
      <c r="AD221"/>
      <c r="AE221"/>
      <c r="AF221"/>
      <c r="AG221"/>
      <c r="AH221"/>
      <c r="AI221"/>
    </row>
    <row r="222" spans="2:35" x14ac:dyDescent="0.35">
      <c r="B222" s="1"/>
      <c r="C222" s="1"/>
      <c r="D222" s="1"/>
      <c r="E222" s="1"/>
      <c r="F222" s="1"/>
      <c r="G222" s="1"/>
      <c r="H222" s="1"/>
      <c r="I222" s="1"/>
      <c r="Q222" s="1"/>
      <c r="R222" s="1"/>
      <c r="S222" s="1"/>
      <c r="T222" s="1"/>
      <c r="U222" s="1"/>
      <c r="V222" s="1"/>
      <c r="W222" s="1"/>
      <c r="AB222"/>
      <c r="AC222"/>
      <c r="AD222"/>
      <c r="AE222"/>
      <c r="AF222"/>
      <c r="AG222"/>
      <c r="AH222"/>
      <c r="AI222"/>
    </row>
    <row r="223" spans="2:35" x14ac:dyDescent="0.35">
      <c r="B223" s="1"/>
      <c r="C223" s="1"/>
      <c r="D223" s="1"/>
      <c r="E223" s="1"/>
      <c r="F223" s="1"/>
      <c r="G223" s="1"/>
      <c r="H223" s="1"/>
      <c r="I223" s="1"/>
      <c r="Q223" s="1"/>
      <c r="R223" s="1"/>
      <c r="S223" s="1"/>
      <c r="T223" s="1"/>
      <c r="U223" s="1"/>
      <c r="V223" s="1"/>
      <c r="W223" s="1"/>
      <c r="AB223"/>
      <c r="AC223"/>
      <c r="AD223"/>
      <c r="AE223"/>
      <c r="AF223"/>
      <c r="AG223"/>
      <c r="AH223"/>
      <c r="AI223"/>
    </row>
    <row r="224" spans="2:35" x14ac:dyDescent="0.35">
      <c r="B224" s="1"/>
      <c r="C224" s="1"/>
      <c r="D224" s="1"/>
      <c r="E224" s="1"/>
      <c r="F224" s="1"/>
      <c r="G224" s="1"/>
      <c r="H224" s="1"/>
      <c r="I224" s="1"/>
      <c r="Q224" s="1"/>
      <c r="R224" s="1"/>
      <c r="S224" s="1"/>
      <c r="T224" s="1"/>
      <c r="U224" s="1"/>
      <c r="V224" s="1"/>
      <c r="W224" s="1"/>
      <c r="AB224"/>
      <c r="AC224"/>
      <c r="AD224"/>
      <c r="AE224"/>
      <c r="AF224"/>
      <c r="AG224"/>
      <c r="AH224"/>
      <c r="AI224"/>
    </row>
    <row r="225" spans="2:35" x14ac:dyDescent="0.35">
      <c r="B225" s="1"/>
      <c r="C225" s="1"/>
      <c r="D225" s="1"/>
      <c r="E225" s="1"/>
      <c r="F225" s="1"/>
      <c r="G225" s="1"/>
      <c r="H225" s="1"/>
      <c r="I225" s="1"/>
      <c r="Q225" s="1"/>
      <c r="R225" s="1"/>
      <c r="S225" s="1"/>
      <c r="T225" s="1"/>
      <c r="U225" s="1"/>
      <c r="V225" s="1"/>
      <c r="W225" s="1"/>
      <c r="AB225"/>
      <c r="AC225"/>
      <c r="AD225"/>
      <c r="AE225"/>
      <c r="AF225"/>
      <c r="AG225"/>
      <c r="AH225"/>
      <c r="AI225"/>
    </row>
    <row r="226" spans="2:35" x14ac:dyDescent="0.35">
      <c r="B226" s="1"/>
      <c r="C226" s="1"/>
      <c r="D226" s="1"/>
      <c r="E226" s="1"/>
      <c r="F226" s="1"/>
      <c r="G226" s="1"/>
      <c r="H226" s="1"/>
      <c r="I226" s="1"/>
      <c r="Q226" s="1"/>
      <c r="R226" s="1"/>
      <c r="S226" s="1"/>
      <c r="T226" s="1"/>
      <c r="U226" s="1"/>
      <c r="V226" s="1"/>
      <c r="W226" s="1"/>
      <c r="AB226"/>
      <c r="AC226"/>
      <c r="AD226"/>
      <c r="AE226"/>
      <c r="AF226"/>
      <c r="AG226"/>
      <c r="AH226"/>
      <c r="AI226"/>
    </row>
    <row r="227" spans="2:35" x14ac:dyDescent="0.35">
      <c r="B227" s="1"/>
      <c r="C227" s="1"/>
      <c r="D227" s="1"/>
      <c r="E227" s="1"/>
      <c r="F227" s="1"/>
      <c r="G227" s="1"/>
      <c r="H227" s="1"/>
      <c r="I227" s="1"/>
      <c r="Q227" s="1"/>
      <c r="R227" s="1"/>
      <c r="S227" s="1"/>
      <c r="T227" s="1"/>
      <c r="U227" s="1"/>
      <c r="V227" s="1"/>
      <c r="W227" s="1"/>
      <c r="AB227"/>
      <c r="AC227"/>
      <c r="AD227"/>
      <c r="AE227"/>
      <c r="AF227"/>
      <c r="AG227"/>
      <c r="AH227"/>
      <c r="AI227"/>
    </row>
    <row r="228" spans="2:35" x14ac:dyDescent="0.35">
      <c r="B228" s="1"/>
      <c r="C228" s="1"/>
      <c r="D228" s="1"/>
      <c r="E228" s="1"/>
      <c r="F228" s="1"/>
      <c r="G228" s="1"/>
      <c r="H228" s="1"/>
      <c r="I228" s="1"/>
      <c r="Q228" s="1"/>
      <c r="R228" s="1"/>
      <c r="S228" s="1"/>
      <c r="T228" s="1"/>
      <c r="U228" s="1"/>
      <c r="V228" s="1"/>
      <c r="W228" s="1"/>
      <c r="AB228"/>
      <c r="AC228"/>
      <c r="AD228"/>
      <c r="AE228"/>
      <c r="AF228"/>
      <c r="AG228"/>
      <c r="AH228"/>
      <c r="AI228"/>
    </row>
    <row r="229" spans="2:35" x14ac:dyDescent="0.35">
      <c r="B229" s="1"/>
      <c r="C229" s="1"/>
      <c r="D229" s="1"/>
      <c r="E229" s="1"/>
      <c r="F229" s="1"/>
      <c r="G229" s="1"/>
      <c r="H229" s="1"/>
      <c r="I229" s="1"/>
      <c r="Q229" s="1"/>
      <c r="R229" s="1"/>
      <c r="S229" s="1"/>
      <c r="T229" s="1"/>
      <c r="U229" s="1"/>
      <c r="V229" s="1"/>
      <c r="W229" s="1"/>
      <c r="AB229"/>
      <c r="AC229"/>
      <c r="AD229"/>
      <c r="AE229"/>
      <c r="AF229"/>
      <c r="AG229"/>
      <c r="AH229"/>
      <c r="AI229"/>
    </row>
    <row r="230" spans="2:35" x14ac:dyDescent="0.35">
      <c r="B230" s="1"/>
      <c r="C230" s="1"/>
      <c r="D230" s="1"/>
      <c r="E230" s="1"/>
      <c r="F230" s="1"/>
      <c r="G230" s="1"/>
      <c r="H230" s="1"/>
      <c r="I230" s="1"/>
      <c r="Q230" s="1"/>
      <c r="R230" s="1"/>
      <c r="S230" s="1"/>
      <c r="T230" s="1"/>
      <c r="U230" s="1"/>
      <c r="V230" s="1"/>
      <c r="W230" s="1"/>
      <c r="AB230"/>
      <c r="AC230"/>
      <c r="AD230"/>
      <c r="AE230"/>
      <c r="AF230"/>
      <c r="AG230"/>
      <c r="AH230"/>
      <c r="AI230"/>
    </row>
    <row r="231" spans="2:35" x14ac:dyDescent="0.35">
      <c r="B231" s="1"/>
      <c r="C231" s="1"/>
      <c r="D231" s="1"/>
      <c r="E231" s="1"/>
      <c r="F231" s="1"/>
      <c r="G231" s="1"/>
      <c r="H231" s="1"/>
      <c r="I231" s="1"/>
      <c r="Q231" s="1"/>
      <c r="R231" s="1"/>
      <c r="S231" s="1"/>
      <c r="T231" s="1"/>
      <c r="U231" s="1"/>
      <c r="V231" s="1"/>
      <c r="W231" s="1"/>
      <c r="AB231"/>
      <c r="AC231"/>
      <c r="AD231"/>
      <c r="AE231"/>
      <c r="AF231"/>
      <c r="AG231"/>
      <c r="AH231"/>
      <c r="AI231"/>
    </row>
    <row r="232" spans="2:35" x14ac:dyDescent="0.35">
      <c r="B232" s="1"/>
      <c r="C232" s="1"/>
      <c r="D232" s="1"/>
      <c r="E232" s="1"/>
      <c r="F232" s="1"/>
      <c r="G232" s="1"/>
      <c r="H232" s="1"/>
      <c r="I232" s="1"/>
      <c r="Q232" s="1"/>
      <c r="R232" s="1"/>
      <c r="S232" s="1"/>
      <c r="T232" s="1"/>
      <c r="U232" s="1"/>
      <c r="V232" s="1"/>
      <c r="W232" s="1"/>
      <c r="AB232"/>
      <c r="AC232"/>
      <c r="AD232"/>
      <c r="AE232"/>
      <c r="AF232"/>
      <c r="AG232"/>
      <c r="AH232"/>
      <c r="AI232"/>
    </row>
    <row r="233" spans="2:35" x14ac:dyDescent="0.35">
      <c r="B233" s="1"/>
      <c r="C233" s="1"/>
      <c r="D233" s="1"/>
      <c r="E233" s="1"/>
      <c r="F233" s="1"/>
      <c r="G233" s="1"/>
      <c r="H233" s="1"/>
      <c r="I233" s="1"/>
      <c r="Q233" s="1"/>
      <c r="R233" s="1"/>
      <c r="S233" s="1"/>
      <c r="T233" s="1"/>
      <c r="U233" s="1"/>
      <c r="V233" s="1"/>
      <c r="W233" s="1"/>
      <c r="AB233"/>
      <c r="AC233"/>
      <c r="AD233"/>
      <c r="AE233"/>
      <c r="AF233"/>
      <c r="AG233"/>
      <c r="AH233"/>
      <c r="AI233"/>
    </row>
    <row r="234" spans="2:35" x14ac:dyDescent="0.35">
      <c r="B234" s="1"/>
      <c r="C234" s="1"/>
      <c r="D234" s="1"/>
      <c r="E234" s="1"/>
      <c r="F234" s="1"/>
      <c r="G234" s="1"/>
      <c r="H234" s="1"/>
      <c r="I234" s="1"/>
      <c r="Q234" s="1"/>
      <c r="R234" s="1"/>
      <c r="S234" s="1"/>
      <c r="T234" s="1"/>
      <c r="U234" s="1"/>
      <c r="V234" s="1"/>
      <c r="W234" s="1"/>
      <c r="AB234"/>
      <c r="AC234"/>
      <c r="AD234"/>
      <c r="AE234"/>
      <c r="AF234"/>
      <c r="AG234"/>
      <c r="AH234"/>
      <c r="AI234"/>
    </row>
    <row r="235" spans="2:35" x14ac:dyDescent="0.35">
      <c r="B235" s="1"/>
      <c r="C235" s="1"/>
      <c r="D235" s="1"/>
      <c r="E235" s="1"/>
      <c r="F235" s="1"/>
      <c r="G235" s="1"/>
      <c r="H235" s="1"/>
      <c r="I235" s="1"/>
      <c r="Q235" s="1"/>
      <c r="R235" s="1"/>
      <c r="S235" s="1"/>
      <c r="T235" s="1"/>
      <c r="U235" s="1"/>
      <c r="V235" s="1"/>
      <c r="W235" s="1"/>
      <c r="AB235"/>
      <c r="AC235"/>
      <c r="AD235"/>
      <c r="AE235"/>
      <c r="AF235"/>
      <c r="AG235"/>
      <c r="AH235"/>
      <c r="AI235"/>
    </row>
    <row r="236" spans="2:35" x14ac:dyDescent="0.35">
      <c r="B236" s="1"/>
      <c r="C236" s="1"/>
      <c r="D236" s="1"/>
      <c r="E236" s="1"/>
      <c r="F236" s="1"/>
      <c r="G236" s="1"/>
      <c r="H236" s="1"/>
      <c r="I236" s="1"/>
      <c r="Q236" s="1"/>
      <c r="R236" s="1"/>
      <c r="S236" s="1"/>
      <c r="T236" s="1"/>
      <c r="U236" s="1"/>
      <c r="V236" s="1"/>
      <c r="W236" s="1"/>
      <c r="AB236"/>
      <c r="AC236"/>
      <c r="AD236"/>
      <c r="AE236"/>
      <c r="AF236"/>
      <c r="AG236"/>
      <c r="AH236"/>
      <c r="AI236"/>
    </row>
    <row r="237" spans="2:35" x14ac:dyDescent="0.35">
      <c r="B237" s="1"/>
      <c r="C237" s="1"/>
      <c r="D237" s="1"/>
      <c r="E237" s="1"/>
      <c r="F237" s="1"/>
      <c r="G237" s="1"/>
      <c r="H237" s="1"/>
      <c r="I237" s="1"/>
      <c r="Q237" s="1"/>
      <c r="R237" s="1"/>
      <c r="S237" s="1"/>
      <c r="T237" s="1"/>
      <c r="U237" s="1"/>
      <c r="V237" s="1"/>
      <c r="W237" s="1"/>
      <c r="AB237"/>
      <c r="AC237"/>
      <c r="AD237"/>
      <c r="AE237"/>
      <c r="AF237"/>
      <c r="AG237"/>
      <c r="AH237"/>
      <c r="AI237"/>
    </row>
    <row r="238" spans="2:35" x14ac:dyDescent="0.35">
      <c r="B238" s="1"/>
      <c r="C238" s="1"/>
      <c r="D238" s="1"/>
      <c r="E238" s="1"/>
      <c r="F238" s="1"/>
      <c r="G238" s="1"/>
      <c r="H238" s="1"/>
      <c r="I238" s="1"/>
      <c r="Q238" s="1"/>
      <c r="R238" s="1"/>
      <c r="S238" s="1"/>
      <c r="T238" s="1"/>
      <c r="U238" s="1"/>
      <c r="V238" s="1"/>
      <c r="W238" s="1"/>
      <c r="AB238"/>
      <c r="AC238"/>
      <c r="AD238"/>
      <c r="AE238"/>
      <c r="AF238"/>
      <c r="AG238"/>
      <c r="AH238"/>
      <c r="AI238"/>
    </row>
    <row r="239" spans="2:35" x14ac:dyDescent="0.35">
      <c r="B239" s="1"/>
      <c r="C239" s="1"/>
      <c r="D239" s="1"/>
      <c r="E239" s="1"/>
      <c r="F239" s="1"/>
      <c r="G239" s="1"/>
      <c r="H239" s="1"/>
      <c r="I239" s="1"/>
      <c r="Q239" s="1"/>
      <c r="R239" s="1"/>
      <c r="S239" s="1"/>
      <c r="T239" s="1"/>
      <c r="U239" s="1"/>
      <c r="V239" s="1"/>
      <c r="W239" s="1"/>
      <c r="AB239"/>
      <c r="AC239"/>
      <c r="AD239"/>
      <c r="AE239"/>
      <c r="AF239"/>
      <c r="AG239"/>
      <c r="AH239"/>
      <c r="AI239"/>
    </row>
    <row r="240" spans="2:35" x14ac:dyDescent="0.35">
      <c r="B240" s="1"/>
      <c r="C240" s="1"/>
      <c r="D240" s="1"/>
      <c r="E240" s="1"/>
      <c r="F240" s="1"/>
      <c r="G240" s="1"/>
      <c r="H240" s="1"/>
      <c r="I240" s="1"/>
      <c r="Q240" s="1"/>
      <c r="R240" s="1"/>
      <c r="S240" s="1"/>
      <c r="T240" s="1"/>
      <c r="U240" s="1"/>
      <c r="V240" s="1"/>
      <c r="W240" s="1"/>
      <c r="AB240"/>
      <c r="AC240"/>
      <c r="AD240"/>
      <c r="AE240"/>
      <c r="AF240"/>
      <c r="AG240"/>
      <c r="AH240"/>
      <c r="AI240"/>
    </row>
    <row r="241" spans="2:35" x14ac:dyDescent="0.35">
      <c r="B241" s="1"/>
      <c r="C241" s="1"/>
      <c r="D241" s="1"/>
      <c r="E241" s="1"/>
      <c r="F241" s="1"/>
      <c r="G241" s="1"/>
      <c r="H241" s="1"/>
      <c r="I241" s="1"/>
      <c r="Q241" s="1"/>
      <c r="R241" s="1"/>
      <c r="S241" s="1"/>
      <c r="T241" s="1"/>
      <c r="U241" s="1"/>
      <c r="V241" s="1"/>
      <c r="W241" s="1"/>
      <c r="AB241"/>
      <c r="AC241"/>
      <c r="AD241"/>
      <c r="AE241"/>
      <c r="AF241"/>
      <c r="AG241"/>
      <c r="AH241"/>
      <c r="AI241"/>
    </row>
    <row r="242" spans="2:35" x14ac:dyDescent="0.35">
      <c r="B242" s="1"/>
      <c r="C242" s="1"/>
      <c r="D242" s="1"/>
      <c r="E242" s="1"/>
      <c r="F242" s="1"/>
      <c r="G242" s="1"/>
      <c r="H242" s="1"/>
      <c r="I242" s="1"/>
      <c r="Q242" s="1"/>
      <c r="R242" s="1"/>
      <c r="S242" s="1"/>
      <c r="T242" s="1"/>
      <c r="U242" s="1"/>
      <c r="V242" s="1"/>
      <c r="W242" s="1"/>
      <c r="AB242"/>
      <c r="AC242"/>
      <c r="AD242"/>
      <c r="AE242"/>
      <c r="AF242"/>
      <c r="AG242"/>
      <c r="AH242"/>
      <c r="AI242"/>
    </row>
    <row r="243" spans="2:35" x14ac:dyDescent="0.35">
      <c r="B243" s="1"/>
      <c r="C243" s="1"/>
      <c r="D243" s="1"/>
      <c r="E243" s="1"/>
      <c r="F243" s="1"/>
      <c r="G243" s="1"/>
      <c r="H243" s="1"/>
      <c r="I243" s="1"/>
      <c r="Q243" s="1"/>
      <c r="R243" s="1"/>
      <c r="S243" s="1"/>
      <c r="T243" s="1"/>
      <c r="U243" s="1"/>
      <c r="V243" s="1"/>
      <c r="W243" s="1"/>
      <c r="AB243"/>
      <c r="AC243"/>
      <c r="AD243"/>
      <c r="AE243"/>
      <c r="AF243"/>
      <c r="AG243"/>
      <c r="AH243"/>
      <c r="AI243"/>
    </row>
    <row r="244" spans="2:35" x14ac:dyDescent="0.35">
      <c r="B244" s="1"/>
      <c r="C244" s="1"/>
      <c r="D244" s="1"/>
      <c r="E244" s="1"/>
      <c r="F244" s="1"/>
      <c r="G244" s="1"/>
      <c r="H244" s="1"/>
      <c r="I244" s="1"/>
      <c r="Q244" s="1"/>
      <c r="R244" s="1"/>
      <c r="S244" s="1"/>
      <c r="T244" s="1"/>
      <c r="U244" s="1"/>
      <c r="V244" s="1"/>
      <c r="W244" s="1"/>
      <c r="AB244"/>
      <c r="AC244"/>
      <c r="AD244"/>
      <c r="AE244"/>
      <c r="AF244"/>
      <c r="AG244"/>
      <c r="AH244"/>
      <c r="AI244"/>
    </row>
    <row r="245" spans="2:35" x14ac:dyDescent="0.35">
      <c r="B245" s="1"/>
      <c r="C245" s="1"/>
      <c r="D245" s="1"/>
      <c r="E245" s="1"/>
      <c r="F245" s="1"/>
      <c r="G245" s="1"/>
      <c r="H245" s="1"/>
      <c r="I245" s="1"/>
      <c r="Q245" s="1"/>
      <c r="R245" s="1"/>
      <c r="S245" s="1"/>
      <c r="T245" s="1"/>
      <c r="U245" s="1"/>
      <c r="V245" s="1"/>
      <c r="W245" s="1"/>
      <c r="AB245"/>
      <c r="AC245"/>
      <c r="AD245"/>
      <c r="AE245"/>
      <c r="AF245"/>
      <c r="AG245"/>
      <c r="AH245"/>
      <c r="AI245"/>
    </row>
    <row r="246" spans="2:35" x14ac:dyDescent="0.35">
      <c r="B246" s="1"/>
      <c r="C246" s="1"/>
      <c r="D246" s="1"/>
      <c r="E246" s="1"/>
      <c r="F246" s="1"/>
      <c r="G246" s="1"/>
      <c r="H246" s="1"/>
      <c r="I246" s="1"/>
      <c r="Q246" s="1"/>
      <c r="R246" s="1"/>
      <c r="S246" s="1"/>
      <c r="T246" s="1"/>
      <c r="U246" s="1"/>
      <c r="V246" s="1"/>
      <c r="W246" s="1"/>
      <c r="AB246"/>
      <c r="AC246"/>
      <c r="AD246"/>
      <c r="AE246"/>
      <c r="AF246"/>
      <c r="AG246"/>
      <c r="AH246"/>
      <c r="AI246"/>
    </row>
    <row r="247" spans="2:35" x14ac:dyDescent="0.35">
      <c r="B247" s="1"/>
      <c r="C247" s="1"/>
      <c r="D247" s="1"/>
      <c r="E247" s="1"/>
      <c r="F247" s="1"/>
      <c r="G247" s="1"/>
      <c r="H247" s="1"/>
      <c r="I247" s="1"/>
      <c r="Q247" s="1"/>
      <c r="R247" s="1"/>
      <c r="S247" s="1"/>
      <c r="T247" s="1"/>
      <c r="U247" s="1"/>
      <c r="V247" s="1"/>
      <c r="W247" s="1"/>
      <c r="AB247"/>
      <c r="AC247"/>
      <c r="AD247"/>
      <c r="AE247"/>
      <c r="AF247"/>
      <c r="AG247"/>
      <c r="AH247"/>
      <c r="AI247"/>
    </row>
    <row r="248" spans="2:35" x14ac:dyDescent="0.35">
      <c r="B248" s="1"/>
      <c r="C248" s="1"/>
      <c r="D248" s="1"/>
      <c r="E248" s="1"/>
      <c r="F248" s="1"/>
      <c r="G248" s="1"/>
      <c r="H248" s="1"/>
      <c r="I248" s="1"/>
      <c r="Q248" s="1"/>
      <c r="R248" s="1"/>
      <c r="S248" s="1"/>
      <c r="T248" s="1"/>
      <c r="U248" s="1"/>
      <c r="V248" s="1"/>
      <c r="W248" s="1"/>
      <c r="AB248"/>
      <c r="AC248"/>
      <c r="AD248"/>
      <c r="AE248"/>
      <c r="AF248"/>
      <c r="AG248"/>
      <c r="AH248"/>
      <c r="AI248"/>
    </row>
    <row r="249" spans="2:35" x14ac:dyDescent="0.35">
      <c r="B249" s="1"/>
      <c r="C249" s="1"/>
      <c r="D249" s="1"/>
      <c r="E249" s="1"/>
      <c r="F249" s="1"/>
      <c r="G249" s="1"/>
      <c r="H249" s="1"/>
      <c r="I249" s="1"/>
      <c r="Q249" s="1"/>
      <c r="R249" s="1"/>
      <c r="S249" s="1"/>
      <c r="T249" s="1"/>
      <c r="U249" s="1"/>
      <c r="V249" s="1"/>
      <c r="W249" s="1"/>
      <c r="AB249"/>
      <c r="AC249"/>
      <c r="AD249"/>
      <c r="AE249"/>
      <c r="AF249"/>
      <c r="AG249"/>
      <c r="AH249"/>
      <c r="AI249"/>
    </row>
    <row r="250" spans="2:35" x14ac:dyDescent="0.35">
      <c r="B250" s="1"/>
      <c r="C250" s="1"/>
      <c r="D250" s="1"/>
      <c r="E250" s="1"/>
      <c r="F250" s="1"/>
      <c r="G250" s="1"/>
      <c r="H250" s="1"/>
      <c r="I250" s="1"/>
      <c r="Q250" s="1"/>
      <c r="R250" s="1"/>
      <c r="S250" s="1"/>
      <c r="T250" s="1"/>
      <c r="U250" s="1"/>
      <c r="V250" s="1"/>
      <c r="W250" s="1"/>
      <c r="AB250"/>
      <c r="AC250"/>
      <c r="AD250"/>
      <c r="AE250"/>
      <c r="AF250"/>
      <c r="AG250"/>
      <c r="AH250"/>
      <c r="AI250"/>
    </row>
    <row r="251" spans="2:35" x14ac:dyDescent="0.35">
      <c r="B251" s="1"/>
      <c r="C251" s="1"/>
      <c r="D251" s="1"/>
      <c r="E251" s="1"/>
      <c r="F251" s="1"/>
      <c r="G251" s="1"/>
      <c r="H251" s="1"/>
      <c r="I251" s="1"/>
      <c r="Q251" s="1"/>
      <c r="R251" s="1"/>
      <c r="S251" s="1"/>
      <c r="T251" s="1"/>
      <c r="U251" s="1"/>
      <c r="V251" s="1"/>
      <c r="W251" s="1"/>
      <c r="AB251"/>
      <c r="AC251"/>
      <c r="AD251"/>
      <c r="AE251"/>
      <c r="AF251"/>
      <c r="AG251"/>
      <c r="AH251"/>
      <c r="AI251"/>
    </row>
    <row r="252" spans="2:35" x14ac:dyDescent="0.35">
      <c r="B252" s="1"/>
      <c r="C252" s="1"/>
      <c r="D252" s="1"/>
      <c r="E252" s="1"/>
      <c r="F252" s="1"/>
      <c r="G252" s="1"/>
      <c r="H252" s="1"/>
      <c r="I252" s="1"/>
      <c r="Q252" s="1"/>
      <c r="R252" s="1"/>
      <c r="S252" s="1"/>
      <c r="T252" s="1"/>
      <c r="U252" s="1"/>
      <c r="V252" s="1"/>
      <c r="W252" s="1"/>
      <c r="AB252"/>
      <c r="AC252"/>
      <c r="AD252"/>
      <c r="AE252"/>
      <c r="AF252"/>
      <c r="AG252"/>
      <c r="AH252"/>
      <c r="AI252"/>
    </row>
    <row r="253" spans="2:35" x14ac:dyDescent="0.35">
      <c r="B253" s="1"/>
      <c r="C253" s="1"/>
      <c r="D253" s="1"/>
      <c r="E253" s="1"/>
      <c r="F253" s="1"/>
      <c r="G253" s="1"/>
      <c r="H253" s="1"/>
      <c r="I253" s="1"/>
      <c r="Q253" s="1"/>
      <c r="R253" s="1"/>
      <c r="S253" s="1"/>
      <c r="T253" s="1"/>
      <c r="U253" s="1"/>
      <c r="V253" s="1"/>
      <c r="W253" s="1"/>
      <c r="AB253"/>
      <c r="AC253"/>
      <c r="AD253"/>
      <c r="AE253"/>
      <c r="AF253"/>
      <c r="AG253"/>
      <c r="AH253"/>
      <c r="AI253"/>
    </row>
    <row r="254" spans="2:35" x14ac:dyDescent="0.35">
      <c r="B254" s="1"/>
      <c r="C254" s="1"/>
      <c r="D254" s="1"/>
      <c r="E254" s="1"/>
      <c r="F254" s="1"/>
      <c r="G254" s="1"/>
      <c r="H254" s="1"/>
      <c r="I254" s="1"/>
      <c r="Q254" s="1"/>
      <c r="R254" s="1"/>
      <c r="S254" s="1"/>
      <c r="T254" s="1"/>
      <c r="U254" s="1"/>
      <c r="V254" s="1"/>
      <c r="W254" s="1"/>
      <c r="AB254"/>
      <c r="AC254"/>
      <c r="AD254"/>
      <c r="AE254"/>
      <c r="AF254"/>
      <c r="AG254"/>
      <c r="AH254"/>
      <c r="AI254"/>
    </row>
    <row r="255" spans="2:35" x14ac:dyDescent="0.35">
      <c r="B255" s="1"/>
      <c r="C255" s="1"/>
      <c r="D255" s="1"/>
      <c r="E255" s="1"/>
      <c r="F255" s="1"/>
      <c r="G255" s="1"/>
      <c r="H255" s="1"/>
      <c r="I255" s="1"/>
      <c r="Q255" s="1"/>
      <c r="R255" s="1"/>
      <c r="S255" s="1"/>
      <c r="T255" s="1"/>
      <c r="U255" s="1"/>
      <c r="V255" s="1"/>
      <c r="W255" s="1"/>
      <c r="AB255"/>
      <c r="AC255"/>
      <c r="AD255"/>
      <c r="AE255"/>
      <c r="AF255"/>
      <c r="AG255"/>
      <c r="AH255"/>
      <c r="AI255"/>
    </row>
    <row r="256" spans="2:35" x14ac:dyDescent="0.35">
      <c r="B256" s="1"/>
      <c r="C256" s="1"/>
      <c r="D256" s="1"/>
      <c r="E256" s="1"/>
      <c r="F256" s="1"/>
      <c r="G256" s="1"/>
      <c r="H256" s="1"/>
      <c r="I256" s="1"/>
      <c r="Q256" s="1"/>
      <c r="R256" s="1"/>
      <c r="S256" s="1"/>
      <c r="T256" s="1"/>
      <c r="U256" s="1"/>
      <c r="V256" s="1"/>
      <c r="W256" s="1"/>
      <c r="AB256"/>
      <c r="AC256"/>
      <c r="AD256"/>
      <c r="AE256"/>
      <c r="AF256"/>
      <c r="AG256"/>
      <c r="AH256"/>
      <c r="AI256"/>
    </row>
    <row r="257" spans="2:35" x14ac:dyDescent="0.35">
      <c r="B257" s="1"/>
      <c r="C257" s="1"/>
      <c r="D257" s="1"/>
      <c r="E257" s="1"/>
      <c r="F257" s="1"/>
      <c r="G257" s="1"/>
      <c r="H257" s="1"/>
      <c r="I257" s="1"/>
      <c r="Q257" s="1"/>
      <c r="R257" s="1"/>
      <c r="S257" s="1"/>
      <c r="T257" s="1"/>
      <c r="U257" s="1"/>
      <c r="V257" s="1"/>
      <c r="W257" s="1"/>
      <c r="AB257"/>
      <c r="AC257"/>
      <c r="AD257"/>
      <c r="AE257"/>
      <c r="AF257"/>
      <c r="AG257"/>
      <c r="AH257"/>
      <c r="AI257"/>
    </row>
    <row r="258" spans="2:35" x14ac:dyDescent="0.35">
      <c r="B258" s="1"/>
      <c r="C258" s="1"/>
      <c r="D258" s="1"/>
      <c r="E258" s="1"/>
      <c r="F258" s="1"/>
      <c r="G258" s="1"/>
      <c r="H258" s="1"/>
      <c r="I258" s="1"/>
      <c r="Q258" s="1"/>
      <c r="R258" s="1"/>
      <c r="S258" s="1"/>
      <c r="T258" s="1"/>
      <c r="U258" s="1"/>
      <c r="V258" s="1"/>
      <c r="W258" s="1"/>
      <c r="AB258"/>
      <c r="AC258"/>
      <c r="AD258"/>
      <c r="AE258"/>
      <c r="AF258"/>
      <c r="AG258"/>
      <c r="AH258"/>
      <c r="AI258"/>
    </row>
    <row r="259" spans="2:35" x14ac:dyDescent="0.35">
      <c r="B259" s="1"/>
      <c r="C259" s="1"/>
      <c r="D259" s="1"/>
      <c r="E259" s="1"/>
      <c r="F259" s="1"/>
      <c r="G259" s="1"/>
      <c r="H259" s="1"/>
      <c r="I259" s="1"/>
      <c r="Q259" s="1"/>
      <c r="R259" s="1"/>
      <c r="S259" s="1"/>
      <c r="T259" s="1"/>
      <c r="U259" s="1"/>
      <c r="V259" s="1"/>
      <c r="W259" s="1"/>
      <c r="AB259"/>
      <c r="AC259"/>
      <c r="AD259"/>
      <c r="AE259"/>
      <c r="AF259"/>
      <c r="AG259"/>
      <c r="AH259"/>
      <c r="AI259"/>
    </row>
    <row r="260" spans="2:35" x14ac:dyDescent="0.35">
      <c r="B260" s="1"/>
      <c r="C260" s="1"/>
      <c r="D260" s="1"/>
      <c r="E260" s="1"/>
      <c r="F260" s="1"/>
      <c r="G260" s="1"/>
      <c r="H260" s="1"/>
      <c r="I260" s="1"/>
      <c r="Q260" s="1"/>
      <c r="R260" s="1"/>
      <c r="S260" s="1"/>
      <c r="T260" s="1"/>
      <c r="U260" s="1"/>
      <c r="V260" s="1"/>
      <c r="W260" s="1"/>
      <c r="AB260"/>
      <c r="AC260"/>
      <c r="AD260"/>
      <c r="AE260"/>
      <c r="AF260"/>
      <c r="AG260"/>
      <c r="AH260"/>
      <c r="AI260"/>
    </row>
    <row r="261" spans="2:35" x14ac:dyDescent="0.35">
      <c r="B261" s="1"/>
      <c r="C261" s="1"/>
      <c r="D261" s="1"/>
      <c r="E261" s="1"/>
      <c r="F261" s="1"/>
      <c r="G261" s="1"/>
      <c r="H261" s="1"/>
      <c r="I261" s="1"/>
      <c r="Q261" s="1"/>
      <c r="R261" s="1"/>
      <c r="S261" s="1"/>
      <c r="T261" s="1"/>
      <c r="U261" s="1"/>
      <c r="V261" s="1"/>
      <c r="W261" s="1"/>
      <c r="AB261"/>
      <c r="AC261"/>
      <c r="AD261"/>
      <c r="AE261"/>
      <c r="AF261"/>
      <c r="AG261"/>
      <c r="AH261"/>
      <c r="AI261"/>
    </row>
    <row r="262" spans="2:35" x14ac:dyDescent="0.35">
      <c r="B262" s="1"/>
      <c r="C262" s="1"/>
      <c r="D262" s="1"/>
      <c r="E262" s="1"/>
      <c r="F262" s="1"/>
      <c r="G262" s="1"/>
      <c r="H262" s="1"/>
      <c r="I262" s="1"/>
      <c r="Q262" s="1"/>
      <c r="R262" s="1"/>
      <c r="S262" s="1"/>
      <c r="T262" s="1"/>
      <c r="U262" s="1"/>
      <c r="V262" s="1"/>
      <c r="W262" s="1"/>
      <c r="AB262"/>
      <c r="AC262"/>
      <c r="AD262"/>
      <c r="AE262"/>
      <c r="AF262"/>
      <c r="AG262"/>
      <c r="AH262"/>
      <c r="AI262"/>
    </row>
    <row r="263" spans="2:35" x14ac:dyDescent="0.35">
      <c r="B263" s="1"/>
      <c r="C263" s="1"/>
      <c r="D263" s="1"/>
      <c r="E263" s="1"/>
      <c r="F263" s="1"/>
      <c r="G263" s="1"/>
      <c r="H263" s="1"/>
      <c r="I263" s="1"/>
      <c r="Q263" s="1"/>
      <c r="R263" s="1"/>
      <c r="S263" s="1"/>
      <c r="T263" s="1"/>
      <c r="U263" s="1"/>
      <c r="V263" s="1"/>
      <c r="W263" s="1"/>
      <c r="AB263"/>
      <c r="AC263"/>
      <c r="AD263"/>
      <c r="AE263"/>
      <c r="AF263"/>
      <c r="AG263"/>
      <c r="AH263"/>
      <c r="AI263"/>
    </row>
    <row r="264" spans="2:35" x14ac:dyDescent="0.35">
      <c r="B264" s="1"/>
      <c r="C264" s="1"/>
      <c r="D264" s="1"/>
      <c r="E264" s="1"/>
      <c r="F264" s="1"/>
      <c r="G264" s="1"/>
      <c r="H264" s="1"/>
      <c r="I264" s="1"/>
      <c r="Q264" s="1"/>
      <c r="R264" s="1"/>
      <c r="S264" s="1"/>
      <c r="T264" s="1"/>
      <c r="U264" s="1"/>
      <c r="V264" s="1"/>
      <c r="W264" s="1"/>
      <c r="AB264"/>
      <c r="AC264"/>
      <c r="AD264"/>
      <c r="AE264"/>
      <c r="AF264"/>
      <c r="AG264"/>
      <c r="AH264"/>
      <c r="AI264"/>
    </row>
    <row r="265" spans="2:35" x14ac:dyDescent="0.35">
      <c r="B265" s="1"/>
      <c r="C265" s="1"/>
      <c r="D265" s="1"/>
      <c r="E265" s="1"/>
      <c r="F265" s="1"/>
      <c r="G265" s="1"/>
      <c r="H265" s="1"/>
      <c r="I265" s="1"/>
      <c r="Q265" s="1"/>
      <c r="R265" s="1"/>
      <c r="S265" s="1"/>
      <c r="T265" s="1"/>
      <c r="U265" s="1"/>
      <c r="V265" s="1"/>
      <c r="W265" s="1"/>
      <c r="AB265"/>
      <c r="AC265"/>
      <c r="AD265"/>
      <c r="AE265"/>
      <c r="AF265"/>
      <c r="AG265"/>
      <c r="AH265"/>
      <c r="AI265"/>
    </row>
    <row r="266" spans="2:35" x14ac:dyDescent="0.35">
      <c r="B266" s="1"/>
      <c r="C266" s="1"/>
      <c r="D266" s="1"/>
      <c r="E266" s="1"/>
      <c r="F266" s="1"/>
      <c r="G266" s="1"/>
      <c r="H266" s="1"/>
      <c r="I266" s="1"/>
      <c r="Q266" s="1"/>
      <c r="R266" s="1"/>
      <c r="S266" s="1"/>
      <c r="T266" s="1"/>
      <c r="U266" s="1"/>
      <c r="V266" s="1"/>
      <c r="W266" s="1"/>
      <c r="AB266"/>
      <c r="AC266"/>
      <c r="AD266"/>
      <c r="AE266"/>
      <c r="AF266"/>
      <c r="AG266"/>
      <c r="AH266"/>
      <c r="AI266"/>
    </row>
    <row r="267" spans="2:35" x14ac:dyDescent="0.35">
      <c r="B267" s="1"/>
      <c r="C267" s="1"/>
      <c r="D267" s="1"/>
      <c r="E267" s="1"/>
      <c r="F267" s="1"/>
      <c r="G267" s="1"/>
      <c r="H267" s="1"/>
      <c r="I267" s="1"/>
      <c r="Q267" s="1"/>
      <c r="R267" s="1"/>
      <c r="S267" s="1"/>
      <c r="T267" s="1"/>
      <c r="U267" s="1"/>
      <c r="V267" s="1"/>
      <c r="W267" s="1"/>
      <c r="AB267"/>
      <c r="AC267"/>
      <c r="AD267"/>
      <c r="AE267"/>
      <c r="AF267"/>
      <c r="AG267"/>
      <c r="AH267"/>
      <c r="AI267"/>
    </row>
    <row r="268" spans="2:35" x14ac:dyDescent="0.35">
      <c r="B268" s="1"/>
      <c r="C268" s="1"/>
      <c r="D268" s="1"/>
      <c r="E268" s="1"/>
      <c r="F268" s="1"/>
      <c r="G268" s="1"/>
      <c r="H268" s="1"/>
      <c r="I268" s="1"/>
      <c r="Q268" s="1"/>
      <c r="R268" s="1"/>
      <c r="S268" s="1"/>
      <c r="T268" s="1"/>
      <c r="U268" s="1"/>
      <c r="V268" s="1"/>
      <c r="W268" s="1"/>
      <c r="AB268"/>
      <c r="AC268"/>
      <c r="AD268"/>
      <c r="AE268"/>
      <c r="AF268"/>
      <c r="AG268"/>
      <c r="AH268"/>
      <c r="AI268"/>
    </row>
    <row r="269" spans="2:35" x14ac:dyDescent="0.35">
      <c r="B269" s="1"/>
      <c r="C269" s="1"/>
      <c r="D269" s="1"/>
      <c r="E269" s="1"/>
      <c r="F269" s="1"/>
      <c r="G269" s="1"/>
      <c r="H269" s="1"/>
      <c r="I269" s="1"/>
      <c r="Q269" s="1"/>
      <c r="R269" s="1"/>
      <c r="S269" s="1"/>
      <c r="T269" s="1"/>
      <c r="U269" s="1"/>
      <c r="V269" s="1"/>
      <c r="W269" s="1"/>
      <c r="AB269"/>
      <c r="AC269"/>
      <c r="AD269"/>
      <c r="AE269"/>
      <c r="AF269"/>
      <c r="AG269"/>
      <c r="AH269"/>
      <c r="AI269"/>
    </row>
    <row r="270" spans="2:35" x14ac:dyDescent="0.35">
      <c r="B270" s="1"/>
      <c r="C270" s="1"/>
      <c r="D270" s="1"/>
      <c r="E270" s="1"/>
      <c r="F270" s="1"/>
      <c r="G270" s="1"/>
      <c r="H270" s="1"/>
      <c r="I270" s="1"/>
      <c r="Q270" s="1"/>
      <c r="R270" s="1"/>
      <c r="S270" s="1"/>
      <c r="T270" s="1"/>
      <c r="U270" s="1"/>
      <c r="V270" s="1"/>
      <c r="W270" s="1"/>
      <c r="AB270"/>
      <c r="AC270"/>
      <c r="AD270"/>
      <c r="AE270"/>
      <c r="AF270"/>
      <c r="AG270"/>
      <c r="AH270"/>
      <c r="AI270"/>
    </row>
    <row r="271" spans="2:35" x14ac:dyDescent="0.35">
      <c r="B271" s="1"/>
      <c r="C271" s="1"/>
      <c r="D271" s="1"/>
      <c r="E271" s="1"/>
      <c r="F271" s="1"/>
      <c r="G271" s="1"/>
      <c r="H271" s="1"/>
      <c r="I271" s="1"/>
      <c r="Q271" s="1"/>
      <c r="R271" s="1"/>
      <c r="S271" s="1"/>
      <c r="T271" s="1"/>
      <c r="U271" s="1"/>
      <c r="V271" s="1"/>
      <c r="W271" s="1"/>
      <c r="AB271"/>
      <c r="AC271"/>
      <c r="AD271"/>
      <c r="AE271"/>
      <c r="AF271"/>
      <c r="AG271"/>
      <c r="AH271"/>
      <c r="AI271"/>
    </row>
    <row r="272" spans="2:35" x14ac:dyDescent="0.35">
      <c r="B272" s="1"/>
      <c r="C272" s="1"/>
      <c r="D272" s="1"/>
      <c r="E272" s="1"/>
      <c r="F272" s="1"/>
      <c r="G272" s="1"/>
      <c r="H272" s="1"/>
      <c r="I272" s="1"/>
      <c r="Q272" s="1"/>
      <c r="R272" s="1"/>
      <c r="S272" s="1"/>
      <c r="T272" s="1"/>
      <c r="U272" s="1"/>
      <c r="V272" s="1"/>
      <c r="W272" s="1"/>
      <c r="AB272"/>
      <c r="AC272"/>
      <c r="AD272"/>
      <c r="AE272"/>
      <c r="AF272"/>
      <c r="AG272"/>
      <c r="AH272"/>
      <c r="AI272"/>
    </row>
    <row r="273" spans="2:35" x14ac:dyDescent="0.35">
      <c r="B273" s="1"/>
      <c r="C273" s="1"/>
      <c r="D273" s="1"/>
      <c r="E273" s="1"/>
      <c r="F273" s="1"/>
      <c r="G273" s="1"/>
      <c r="H273" s="1"/>
      <c r="I273" s="1"/>
      <c r="Q273" s="1"/>
      <c r="R273" s="1"/>
      <c r="S273" s="1"/>
      <c r="T273" s="1"/>
      <c r="U273" s="1"/>
      <c r="V273" s="1"/>
      <c r="W273" s="1"/>
      <c r="AB273"/>
      <c r="AC273"/>
      <c r="AD273"/>
      <c r="AE273"/>
      <c r="AF273"/>
      <c r="AG273"/>
      <c r="AH273"/>
      <c r="AI273"/>
    </row>
    <row r="274" spans="2:35" x14ac:dyDescent="0.35">
      <c r="B274" s="1"/>
      <c r="C274" s="1"/>
      <c r="D274" s="1"/>
      <c r="E274" s="1"/>
      <c r="F274" s="1"/>
      <c r="G274" s="1"/>
      <c r="H274" s="1"/>
      <c r="I274" s="1"/>
      <c r="Q274" s="1"/>
      <c r="R274" s="1"/>
      <c r="S274" s="1"/>
      <c r="T274" s="1"/>
      <c r="U274" s="1"/>
      <c r="V274" s="1"/>
      <c r="W274" s="1"/>
      <c r="AB274"/>
      <c r="AC274"/>
      <c r="AD274"/>
      <c r="AE274"/>
      <c r="AF274"/>
      <c r="AG274"/>
      <c r="AH274"/>
      <c r="AI274"/>
    </row>
    <row r="275" spans="2:35" x14ac:dyDescent="0.35">
      <c r="B275" s="1"/>
      <c r="C275" s="1"/>
      <c r="D275" s="1"/>
      <c r="E275" s="1"/>
      <c r="F275" s="1"/>
      <c r="G275" s="1"/>
      <c r="H275" s="1"/>
      <c r="I275" s="1"/>
      <c r="Q275" s="1"/>
      <c r="R275" s="1"/>
      <c r="S275" s="1"/>
      <c r="T275" s="1"/>
      <c r="U275" s="1"/>
      <c r="V275" s="1"/>
      <c r="W275" s="1"/>
      <c r="AB275"/>
      <c r="AC275"/>
      <c r="AD275"/>
      <c r="AE275"/>
      <c r="AF275"/>
      <c r="AG275"/>
      <c r="AH275"/>
      <c r="AI275"/>
    </row>
    <row r="276" spans="2:35" x14ac:dyDescent="0.35">
      <c r="B276" s="1"/>
      <c r="C276" s="1"/>
      <c r="D276" s="1"/>
      <c r="E276" s="1"/>
      <c r="F276" s="1"/>
      <c r="G276" s="1"/>
      <c r="H276" s="1"/>
      <c r="I276" s="1"/>
      <c r="Q276" s="1"/>
      <c r="R276" s="1"/>
      <c r="S276" s="1"/>
      <c r="T276" s="1"/>
      <c r="U276" s="1"/>
      <c r="V276" s="1"/>
      <c r="W276" s="1"/>
      <c r="AB276"/>
      <c r="AC276"/>
      <c r="AD276"/>
      <c r="AE276"/>
      <c r="AF276"/>
      <c r="AG276"/>
      <c r="AH276"/>
      <c r="AI276"/>
    </row>
    <row r="277" spans="2:35" x14ac:dyDescent="0.35">
      <c r="B277" s="1"/>
      <c r="C277" s="1"/>
      <c r="D277" s="1"/>
      <c r="E277" s="1"/>
      <c r="F277" s="1"/>
      <c r="G277" s="1"/>
      <c r="H277" s="1"/>
      <c r="I277" s="1"/>
      <c r="Q277" s="1"/>
      <c r="R277" s="1"/>
      <c r="S277" s="1"/>
      <c r="T277" s="1"/>
      <c r="U277" s="1"/>
      <c r="V277" s="1"/>
      <c r="W277" s="1"/>
      <c r="AB277"/>
      <c r="AC277"/>
      <c r="AD277"/>
      <c r="AE277"/>
      <c r="AF277"/>
      <c r="AG277"/>
      <c r="AH277"/>
      <c r="AI277"/>
    </row>
    <row r="278" spans="2:35" x14ac:dyDescent="0.35">
      <c r="B278" s="1"/>
      <c r="C278" s="1"/>
      <c r="D278" s="1"/>
      <c r="E278" s="1"/>
      <c r="F278" s="1"/>
      <c r="G278" s="1"/>
      <c r="H278" s="1"/>
      <c r="I278" s="1"/>
      <c r="Q278" s="1"/>
      <c r="R278" s="1"/>
      <c r="S278" s="1"/>
      <c r="T278" s="1"/>
      <c r="U278" s="1"/>
      <c r="V278" s="1"/>
      <c r="W278" s="1"/>
      <c r="AB278"/>
      <c r="AC278"/>
      <c r="AD278"/>
      <c r="AE278"/>
      <c r="AF278"/>
      <c r="AG278"/>
      <c r="AH278"/>
      <c r="AI278"/>
    </row>
    <row r="279" spans="2:35" x14ac:dyDescent="0.35">
      <c r="B279" s="1"/>
      <c r="C279" s="1"/>
      <c r="D279" s="1"/>
      <c r="E279" s="1"/>
      <c r="F279" s="1"/>
      <c r="G279" s="1"/>
      <c r="H279" s="1"/>
      <c r="I279" s="1"/>
      <c r="Q279" s="1"/>
      <c r="R279" s="1"/>
      <c r="S279" s="1"/>
      <c r="T279" s="1"/>
      <c r="U279" s="1"/>
      <c r="V279" s="1"/>
      <c r="W279" s="1"/>
      <c r="AB279"/>
      <c r="AC279"/>
      <c r="AD279"/>
      <c r="AE279"/>
      <c r="AF279"/>
      <c r="AG279"/>
      <c r="AH279"/>
      <c r="AI279"/>
    </row>
    <row r="280" spans="2:35" x14ac:dyDescent="0.35">
      <c r="B280" s="1"/>
      <c r="C280" s="1"/>
      <c r="D280" s="1"/>
      <c r="E280" s="1"/>
      <c r="F280" s="1"/>
      <c r="G280" s="1"/>
      <c r="H280" s="1"/>
      <c r="I280" s="1"/>
      <c r="Q280" s="1"/>
      <c r="R280" s="1"/>
      <c r="S280" s="1"/>
      <c r="T280" s="1"/>
      <c r="U280" s="1"/>
      <c r="V280" s="1"/>
      <c r="W280" s="1"/>
      <c r="AB280"/>
      <c r="AC280"/>
      <c r="AD280"/>
      <c r="AE280"/>
      <c r="AF280"/>
      <c r="AG280"/>
      <c r="AH280"/>
      <c r="AI280"/>
    </row>
    <row r="281" spans="2:35" x14ac:dyDescent="0.35">
      <c r="B281" s="1"/>
      <c r="C281" s="1"/>
      <c r="D281" s="1"/>
      <c r="E281" s="1"/>
      <c r="F281" s="1"/>
      <c r="G281" s="1"/>
      <c r="H281" s="1"/>
      <c r="I281" s="1"/>
      <c r="Q281" s="1"/>
      <c r="R281" s="1"/>
      <c r="S281" s="1"/>
      <c r="T281" s="1"/>
      <c r="U281" s="1"/>
      <c r="V281" s="1"/>
      <c r="W281" s="1"/>
      <c r="AB281"/>
      <c r="AC281"/>
      <c r="AD281"/>
      <c r="AE281"/>
      <c r="AF281"/>
      <c r="AG281"/>
      <c r="AH281"/>
      <c r="AI281"/>
    </row>
    <row r="282" spans="2:35" x14ac:dyDescent="0.35">
      <c r="B282" s="1"/>
      <c r="C282" s="1"/>
      <c r="D282" s="1"/>
      <c r="E282" s="1"/>
      <c r="F282" s="1"/>
      <c r="G282" s="1"/>
      <c r="H282" s="1"/>
      <c r="I282" s="1"/>
      <c r="Q282" s="1"/>
      <c r="R282" s="1"/>
      <c r="S282" s="1"/>
      <c r="T282" s="1"/>
      <c r="U282" s="1"/>
      <c r="V282" s="1"/>
      <c r="W282" s="1"/>
      <c r="AB282"/>
      <c r="AC282"/>
      <c r="AD282"/>
      <c r="AE282"/>
      <c r="AF282"/>
      <c r="AG282"/>
      <c r="AH282"/>
      <c r="AI282"/>
    </row>
    <row r="283" spans="2:35" x14ac:dyDescent="0.35">
      <c r="B283" s="1"/>
      <c r="C283" s="1"/>
      <c r="D283" s="1"/>
      <c r="E283" s="1"/>
      <c r="F283" s="1"/>
      <c r="G283" s="1"/>
      <c r="H283" s="1"/>
      <c r="I283" s="1"/>
      <c r="Q283" s="1"/>
      <c r="R283" s="1"/>
      <c r="S283" s="1"/>
      <c r="T283" s="1"/>
      <c r="U283" s="1"/>
      <c r="V283" s="1"/>
      <c r="W283" s="1"/>
      <c r="AB283"/>
      <c r="AC283"/>
      <c r="AD283"/>
      <c r="AE283"/>
      <c r="AF283"/>
      <c r="AG283"/>
      <c r="AH283"/>
      <c r="AI283"/>
    </row>
    <row r="284" spans="2:35" x14ac:dyDescent="0.35">
      <c r="B284" s="1"/>
      <c r="C284" s="1"/>
      <c r="D284" s="1"/>
      <c r="E284" s="1"/>
      <c r="F284" s="1"/>
      <c r="G284" s="1"/>
      <c r="H284" s="1"/>
      <c r="I284" s="1"/>
      <c r="Q284" s="1"/>
      <c r="R284" s="1"/>
      <c r="S284" s="1"/>
      <c r="T284" s="1"/>
      <c r="U284" s="1"/>
      <c r="V284" s="1"/>
      <c r="W284" s="1"/>
      <c r="AB284"/>
      <c r="AC284"/>
      <c r="AD284"/>
      <c r="AE284"/>
      <c r="AF284"/>
      <c r="AG284"/>
      <c r="AH284"/>
      <c r="AI284"/>
    </row>
    <row r="285" spans="2:35" x14ac:dyDescent="0.35">
      <c r="B285" s="1"/>
      <c r="C285" s="1"/>
      <c r="D285" s="1"/>
      <c r="E285" s="1"/>
      <c r="F285" s="1"/>
      <c r="G285" s="1"/>
      <c r="H285" s="1"/>
      <c r="I285" s="1"/>
      <c r="Q285" s="1"/>
      <c r="R285" s="1"/>
      <c r="S285" s="1"/>
      <c r="T285" s="1"/>
      <c r="U285" s="1"/>
      <c r="V285" s="1"/>
      <c r="W285" s="1"/>
      <c r="AB285"/>
      <c r="AC285"/>
      <c r="AD285"/>
      <c r="AE285"/>
      <c r="AF285"/>
      <c r="AG285"/>
      <c r="AH285"/>
      <c r="AI285"/>
    </row>
    <row r="286" spans="2:35" x14ac:dyDescent="0.35">
      <c r="B286" s="1"/>
      <c r="C286" s="1"/>
      <c r="D286" s="1"/>
      <c r="E286" s="1"/>
      <c r="F286" s="1"/>
      <c r="G286" s="1"/>
      <c r="H286" s="1"/>
      <c r="I286" s="1"/>
      <c r="Q286" s="1"/>
      <c r="R286" s="1"/>
      <c r="S286" s="1"/>
      <c r="T286" s="1"/>
      <c r="U286" s="1"/>
      <c r="V286" s="1"/>
      <c r="W286" s="1"/>
      <c r="AB286"/>
      <c r="AC286"/>
      <c r="AD286"/>
      <c r="AE286"/>
      <c r="AF286"/>
      <c r="AG286"/>
      <c r="AH286"/>
      <c r="AI286"/>
    </row>
    <row r="287" spans="2:35" x14ac:dyDescent="0.35">
      <c r="B287" s="1"/>
      <c r="C287" s="1"/>
      <c r="D287" s="1"/>
      <c r="E287" s="1"/>
      <c r="F287" s="1"/>
      <c r="G287" s="1"/>
      <c r="H287" s="1"/>
      <c r="I287" s="1"/>
      <c r="Q287" s="1"/>
      <c r="R287" s="1"/>
      <c r="S287" s="1"/>
      <c r="T287" s="1"/>
      <c r="U287" s="1"/>
      <c r="V287" s="1"/>
      <c r="W287" s="1"/>
      <c r="AB287"/>
      <c r="AC287"/>
      <c r="AD287"/>
      <c r="AE287"/>
      <c r="AF287"/>
      <c r="AG287"/>
      <c r="AH287"/>
      <c r="AI287"/>
    </row>
    <row r="288" spans="2:35" x14ac:dyDescent="0.35">
      <c r="B288" s="1"/>
      <c r="C288" s="1"/>
      <c r="D288" s="1"/>
      <c r="E288" s="1"/>
      <c r="F288" s="1"/>
      <c r="G288" s="1"/>
    </row>
  </sheetData>
  <mergeCells count="28">
    <mergeCell ref="B63:B64"/>
    <mergeCell ref="H63:H64"/>
    <mergeCell ref="B65:B66"/>
    <mergeCell ref="H65:H66"/>
    <mergeCell ref="D24:D25"/>
    <mergeCell ref="C24:C25"/>
    <mergeCell ref="F24:F25"/>
    <mergeCell ref="H24:H25"/>
    <mergeCell ref="G24:G25"/>
    <mergeCell ref="L24:L25"/>
    <mergeCell ref="I24:I25"/>
    <mergeCell ref="G17:G18"/>
    <mergeCell ref="J24:K24"/>
    <mergeCell ref="F82:G82"/>
    <mergeCell ref="K17:K18"/>
    <mergeCell ref="F70:G70"/>
    <mergeCell ref="I17:J17"/>
    <mergeCell ref="C157:D157"/>
    <mergeCell ref="C17:C18"/>
    <mergeCell ref="D17:E17"/>
    <mergeCell ref="F17:F18"/>
    <mergeCell ref="H17:H18"/>
    <mergeCell ref="F80:G80"/>
    <mergeCell ref="F75:G75"/>
    <mergeCell ref="C120:D120"/>
    <mergeCell ref="F84:G84"/>
    <mergeCell ref="F92:G92"/>
    <mergeCell ref="E24:E25"/>
  </mergeCells>
  <conditionalFormatting sqref="C207:M208 C205:M205">
    <cfRule type="cellIs" dxfId="0" priority="2" operator="lessThan">
      <formula>0</formula>
    </cfRule>
  </conditionalFormatting>
  <dataValidations count="1">
    <dataValidation type="list" allowBlank="1" showInputMessage="1" showErrorMessage="1" sqref="B5" xr:uid="{E0283082-40CB-48ED-BF30-A7F4ACC9DA49}">
      <formula1>$B$6:$B$7</formula1>
    </dataValidation>
  </dataValidations>
  <pageMargins left="0.75" right="0.75" top="1" bottom="1" header="0.5" footer="0.5"/>
  <pageSetup paperSize="9" orientation="portrait" horizontalDpi="4294967292" verticalDpi="4294967292" r:id="rId1"/>
  <ignoredErrors>
    <ignoredError sqref="J51 F97 F102" emptyCellReference="1"/>
    <ignoredError sqref="J65:L65" formula="1"/>
  </ignoredErrors>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33"/>
  <sheetViews>
    <sheetView workbookViewId="0">
      <selection activeCell="H19" sqref="H19"/>
    </sheetView>
  </sheetViews>
  <sheetFormatPr baseColWidth="10" defaultColWidth="11" defaultRowHeight="15.5" x14ac:dyDescent="0.35"/>
  <cols>
    <col min="1" max="5" width="26" customWidth="1"/>
    <col min="6" max="6" width="16.5" customWidth="1"/>
    <col min="7" max="7" width="26" hidden="1" customWidth="1"/>
    <col min="8" max="8" width="26" customWidth="1"/>
  </cols>
  <sheetData>
    <row r="1" spans="1:7" ht="21" x14ac:dyDescent="0.5">
      <c r="A1" s="7" t="s">
        <v>265</v>
      </c>
      <c r="B1" s="7"/>
    </row>
    <row r="2" spans="1:7" x14ac:dyDescent="0.35">
      <c r="A2" s="80" t="s">
        <v>266</v>
      </c>
      <c r="B2" s="81">
        <f>'Table rentabilité'!D190</f>
        <v>0.12</v>
      </c>
    </row>
    <row r="3" spans="1:7" x14ac:dyDescent="0.35">
      <c r="A3" s="80" t="s">
        <v>267</v>
      </c>
      <c r="B3" s="82">
        <f>'Table rentabilité'!D189</f>
        <v>23848885.747918904</v>
      </c>
    </row>
    <row r="4" spans="1:7" x14ac:dyDescent="0.35">
      <c r="A4" s="80" t="s">
        <v>268</v>
      </c>
      <c r="B4" s="80">
        <f>'Table rentabilité'!D191</f>
        <v>2</v>
      </c>
      <c r="C4">
        <f>B4*12</f>
        <v>24</v>
      </c>
    </row>
    <row r="5" spans="1:7" x14ac:dyDescent="0.35">
      <c r="A5" s="83" t="s">
        <v>269</v>
      </c>
      <c r="B5" s="84">
        <f>-PMT((1+B2)^(1/12)-1,B4*12,B3)</f>
        <v>1115829.9160295804</v>
      </c>
      <c r="C5" t="s">
        <v>270</v>
      </c>
      <c r="D5" s="85" t="s">
        <v>271</v>
      </c>
      <c r="E5" s="86"/>
    </row>
    <row r="6" spans="1:7" x14ac:dyDescent="0.35">
      <c r="D6" s="87"/>
    </row>
    <row r="7" spans="1:7" ht="21" x14ac:dyDescent="0.5">
      <c r="A7" s="7" t="s">
        <v>272</v>
      </c>
      <c r="B7" s="7"/>
      <c r="D7" s="87"/>
    </row>
    <row r="8" spans="1:7" x14ac:dyDescent="0.35">
      <c r="A8" s="80" t="s">
        <v>273</v>
      </c>
      <c r="B8" s="82">
        <f>-PPMT((1+B2)^(1/12)-1,1,B4*12,B3)</f>
        <v>889532.77744704916</v>
      </c>
      <c r="C8" t="s">
        <v>274</v>
      </c>
      <c r="D8" s="88" t="s">
        <v>275</v>
      </c>
      <c r="E8" s="89"/>
    </row>
    <row r="9" spans="1:7" x14ac:dyDescent="0.35">
      <c r="A9" s="80" t="s">
        <v>276</v>
      </c>
      <c r="B9" s="82">
        <f>-IPMT((1+B2)^(1/12)-1,1,B4*12,B3)</f>
        <v>226297.13858253119</v>
      </c>
      <c r="C9" t="s">
        <v>277</v>
      </c>
      <c r="D9" s="88" t="s">
        <v>278</v>
      </c>
      <c r="E9" s="89"/>
    </row>
    <row r="10" spans="1:7" x14ac:dyDescent="0.35">
      <c r="D10" s="87"/>
    </row>
    <row r="12" spans="1:7" ht="18.5" x14ac:dyDescent="0.45">
      <c r="A12" s="90" t="s">
        <v>279</v>
      </c>
      <c r="B12" s="91"/>
      <c r="C12" s="92"/>
    </row>
    <row r="13" spans="1:7" ht="18.5" x14ac:dyDescent="0.45">
      <c r="A13" s="93" t="s">
        <v>280</v>
      </c>
      <c r="B13" s="93" t="s">
        <v>281</v>
      </c>
      <c r="C13" s="93" t="s">
        <v>230</v>
      </c>
      <c r="D13" s="93" t="s">
        <v>231</v>
      </c>
      <c r="E13" s="93" t="s">
        <v>282</v>
      </c>
      <c r="F13" s="93" t="s">
        <v>283</v>
      </c>
    </row>
    <row r="14" spans="1:7" x14ac:dyDescent="0.35">
      <c r="A14">
        <f>IF(B4&lt;&gt;0,1,"-")</f>
        <v>1</v>
      </c>
      <c r="B14" s="94">
        <f>IF(A14&lt;&gt;"-",C14+D14,"")</f>
        <v>1115829.9160295804</v>
      </c>
      <c r="C14" s="94">
        <f>IF(A14&lt;&gt;"-",-PPMT((1+$B$2)^(1/12)-1,A14,$B$4*12,$B$3),"")</f>
        <v>889532.77744704916</v>
      </c>
      <c r="D14" s="94">
        <f>IF(A14&lt;&gt;"-",-IPMT((1+$B$2)^(1/12)-1,A14,$B$4*12,$B$3),"")</f>
        <v>226297.13858253119</v>
      </c>
      <c r="E14" s="94">
        <f>IF(A14&lt;&gt;"-",$B$3+CUMPRINC((1+$B$2)^(1/12)-1,$B$4*12,$B$3,1,A14,0),"")</f>
        <v>22959352.970471855</v>
      </c>
      <c r="F14">
        <f>IF(A14&lt;&gt;"-",1,"")</f>
        <v>1</v>
      </c>
      <c r="G14" s="95">
        <f>IF(A14&lt;&gt;"-",1,"")</f>
        <v>1</v>
      </c>
    </row>
    <row r="15" spans="1:7" x14ac:dyDescent="0.35">
      <c r="A15">
        <f>IF(AND($B$4&lt;&gt;0,A14&lt;$C$4),A14+1,"-")</f>
        <v>2</v>
      </c>
      <c r="B15" s="94">
        <f t="shared" ref="B15:B78" si="0">IF(A15&lt;&gt;"-",C15+D15,"")</f>
        <v>1115829.9160295804</v>
      </c>
      <c r="C15" s="94">
        <f t="shared" ref="C15:C78" si="1">IF(A15&lt;&gt;"-",-PPMT((1+$B$2)^(1/12)-1,A15,$B$4*12,$B$3),"")</f>
        <v>897973.36978076864</v>
      </c>
      <c r="D15" s="94">
        <f t="shared" ref="D15:D78" si="2">IF(A15&lt;&gt;"-",-IPMT((1+$B$2)^(1/12)-1,A15,$B$4*12,$B$3),"")</f>
        <v>217856.54624881165</v>
      </c>
      <c r="E15" s="94">
        <f t="shared" ref="E15:E78" si="3">IF(A15&lt;&gt;"-",$B$3+CUMPRINC((1+$B$2)^(1/12)-1,$B$4*12,$B$3,1,A15,0),"")</f>
        <v>22061379.600691088</v>
      </c>
      <c r="F15">
        <f>IF(A15&lt;&gt;"-",IF(G14&lt;G15,F14,F14+1),"")</f>
        <v>1</v>
      </c>
      <c r="G15" s="94">
        <f>IF(A15="-","",IF(G14&lt;12,G14+1,1))</f>
        <v>2</v>
      </c>
    </row>
    <row r="16" spans="1:7" x14ac:dyDescent="0.35">
      <c r="A16">
        <f t="shared" ref="A16:A79" si="4">IF(AND($B$4&lt;&gt;0,A15&lt;$C$4),A15+1,"-")</f>
        <v>3</v>
      </c>
      <c r="B16" s="94">
        <f t="shared" si="0"/>
        <v>1115829.9160295804</v>
      </c>
      <c r="C16" s="94">
        <f t="shared" si="1"/>
        <v>906494.05314738827</v>
      </c>
      <c r="D16" s="94">
        <f t="shared" si="2"/>
        <v>209335.86288219216</v>
      </c>
      <c r="E16" s="94">
        <f t="shared" si="3"/>
        <v>21154885.547543697</v>
      </c>
      <c r="F16">
        <f t="shared" ref="F16:F79" si="5">IF(A16&lt;&gt;"-",IF(G15&lt;G16,F15,F15+1),"")</f>
        <v>1</v>
      </c>
      <c r="G16" s="94">
        <f t="shared" ref="G16:G79" si="6">IF(A16="-","",IF(G15&lt;12,G15+1,1))</f>
        <v>3</v>
      </c>
    </row>
    <row r="17" spans="1:7" x14ac:dyDescent="0.35">
      <c r="A17">
        <f t="shared" si="4"/>
        <v>4</v>
      </c>
      <c r="B17" s="94">
        <f t="shared" si="0"/>
        <v>1115829.9160295802</v>
      </c>
      <c r="C17" s="94">
        <f t="shared" si="1"/>
        <v>915095.58751413459</v>
      </c>
      <c r="D17" s="94">
        <f t="shared" si="2"/>
        <v>200734.32851544567</v>
      </c>
      <c r="E17" s="94">
        <f t="shared" si="3"/>
        <v>20239789.960029565</v>
      </c>
      <c r="F17">
        <f t="shared" si="5"/>
        <v>1</v>
      </c>
      <c r="G17" s="94">
        <f t="shared" si="6"/>
        <v>4</v>
      </c>
    </row>
    <row r="18" spans="1:7" x14ac:dyDescent="0.35">
      <c r="A18">
        <f t="shared" si="4"/>
        <v>5</v>
      </c>
      <c r="B18" s="94">
        <f t="shared" si="0"/>
        <v>1115829.9160295804</v>
      </c>
      <c r="C18" s="94">
        <f t="shared" si="1"/>
        <v>923778.74005940696</v>
      </c>
      <c r="D18" s="94">
        <f t="shared" si="2"/>
        <v>192051.17597017341</v>
      </c>
      <c r="E18" s="94">
        <f t="shared" si="3"/>
        <v>19316011.219970156</v>
      </c>
      <c r="F18">
        <f t="shared" si="5"/>
        <v>1</v>
      </c>
      <c r="G18" s="94">
        <f t="shared" si="6"/>
        <v>5</v>
      </c>
    </row>
    <row r="19" spans="1:7" x14ac:dyDescent="0.35">
      <c r="A19">
        <f t="shared" si="4"/>
        <v>6</v>
      </c>
      <c r="B19" s="94">
        <f t="shared" si="0"/>
        <v>1115829.9160295804</v>
      </c>
      <c r="C19" s="94">
        <f t="shared" si="1"/>
        <v>932544.28524120071</v>
      </c>
      <c r="D19" s="94">
        <f t="shared" si="2"/>
        <v>183285.63078837964</v>
      </c>
      <c r="E19" s="94">
        <f t="shared" si="3"/>
        <v>18383466.934728954</v>
      </c>
      <c r="F19">
        <f t="shared" si="5"/>
        <v>1</v>
      </c>
      <c r="G19" s="94">
        <f t="shared" si="6"/>
        <v>6</v>
      </c>
    </row>
    <row r="20" spans="1:7" x14ac:dyDescent="0.35">
      <c r="A20">
        <f t="shared" si="4"/>
        <v>7</v>
      </c>
      <c r="B20" s="94">
        <f t="shared" si="0"/>
        <v>1115829.9160295804</v>
      </c>
      <c r="C20" s="94">
        <f t="shared" si="1"/>
        <v>941393.00486618327</v>
      </c>
      <c r="D20" s="94">
        <f t="shared" si="2"/>
        <v>174436.91116339716</v>
      </c>
      <c r="E20" s="94">
        <f t="shared" si="3"/>
        <v>17442073.929862771</v>
      </c>
      <c r="F20">
        <f t="shared" si="5"/>
        <v>1</v>
      </c>
      <c r="G20" s="94">
        <f t="shared" si="6"/>
        <v>7</v>
      </c>
    </row>
    <row r="21" spans="1:7" x14ac:dyDescent="0.35">
      <c r="A21">
        <f t="shared" si="4"/>
        <v>8</v>
      </c>
      <c r="B21" s="94">
        <f t="shared" si="0"/>
        <v>1115829.9160295804</v>
      </c>
      <c r="C21" s="94">
        <f t="shared" si="1"/>
        <v>950325.68815942341</v>
      </c>
      <c r="D21" s="94">
        <f t="shared" si="2"/>
        <v>165504.22787015705</v>
      </c>
      <c r="E21" s="94">
        <f t="shared" si="3"/>
        <v>16491748.241703348</v>
      </c>
      <c r="F21">
        <f t="shared" si="5"/>
        <v>1</v>
      </c>
      <c r="G21" s="94">
        <f t="shared" si="6"/>
        <v>8</v>
      </c>
    </row>
    <row r="22" spans="1:7" x14ac:dyDescent="0.35">
      <c r="A22">
        <f t="shared" si="4"/>
        <v>9</v>
      </c>
      <c r="B22" s="94">
        <f t="shared" si="0"/>
        <v>1115829.9160295804</v>
      </c>
      <c r="C22" s="94">
        <f t="shared" si="1"/>
        <v>959343.13183478324</v>
      </c>
      <c r="D22" s="94">
        <f t="shared" si="2"/>
        <v>156486.78419479713</v>
      </c>
      <c r="E22" s="94">
        <f t="shared" si="3"/>
        <v>15532405.109868564</v>
      </c>
      <c r="F22">
        <f t="shared" si="5"/>
        <v>1</v>
      </c>
      <c r="G22" s="94">
        <f t="shared" si="6"/>
        <v>9</v>
      </c>
    </row>
    <row r="23" spans="1:7" x14ac:dyDescent="0.35">
      <c r="A23">
        <f t="shared" si="4"/>
        <v>10</v>
      </c>
      <c r="B23" s="94">
        <f t="shared" si="0"/>
        <v>1115829.9160295804</v>
      </c>
      <c r="C23" s="94">
        <f t="shared" si="1"/>
        <v>968446.14016597788</v>
      </c>
      <c r="D23" s="94">
        <f t="shared" si="2"/>
        <v>147383.7758636025</v>
      </c>
      <c r="E23" s="94">
        <f t="shared" si="3"/>
        <v>14563958.969702585</v>
      </c>
      <c r="F23">
        <f t="shared" si="5"/>
        <v>1</v>
      </c>
      <c r="G23" s="94">
        <f t="shared" si="6"/>
        <v>10</v>
      </c>
    </row>
    <row r="24" spans="1:7" x14ac:dyDescent="0.35">
      <c r="A24">
        <f t="shared" si="4"/>
        <v>11</v>
      </c>
      <c r="B24" s="94">
        <f t="shared" si="0"/>
        <v>1115829.9160295804</v>
      </c>
      <c r="C24" s="94">
        <f t="shared" si="1"/>
        <v>977635.52505830908</v>
      </c>
      <c r="D24" s="94">
        <f t="shared" si="2"/>
        <v>138194.39097127129</v>
      </c>
      <c r="E24" s="94">
        <f t="shared" si="3"/>
        <v>13586323.444644278</v>
      </c>
      <c r="F24">
        <f t="shared" si="5"/>
        <v>1</v>
      </c>
      <c r="G24" s="94">
        <f t="shared" si="6"/>
        <v>11</v>
      </c>
    </row>
    <row r="25" spans="1:7" x14ac:dyDescent="0.35">
      <c r="A25">
        <f t="shared" si="4"/>
        <v>12</v>
      </c>
      <c r="B25" s="94">
        <f t="shared" si="0"/>
        <v>1115829.9160295804</v>
      </c>
      <c r="C25" s="94">
        <f t="shared" si="1"/>
        <v>986912.10612107976</v>
      </c>
      <c r="D25" s="94">
        <f t="shared" si="2"/>
        <v>128917.80990850065</v>
      </c>
      <c r="E25" s="94">
        <f t="shared" si="3"/>
        <v>12599411.338523198</v>
      </c>
      <c r="F25">
        <f t="shared" si="5"/>
        <v>1</v>
      </c>
      <c r="G25" s="94">
        <f t="shared" si="6"/>
        <v>12</v>
      </c>
    </row>
    <row r="26" spans="1:7" x14ac:dyDescent="0.35">
      <c r="A26">
        <f t="shared" si="4"/>
        <v>13</v>
      </c>
      <c r="B26" s="94">
        <f t="shared" si="0"/>
        <v>1115829.9160295804</v>
      </c>
      <c r="C26" s="94">
        <f t="shared" si="1"/>
        <v>996276.71074069594</v>
      </c>
      <c r="D26" s="94">
        <f t="shared" si="2"/>
        <v>119553.20528888448</v>
      </c>
      <c r="E26" s="94">
        <f t="shared" si="3"/>
        <v>11603134.627782501</v>
      </c>
      <c r="F26">
        <f t="shared" si="5"/>
        <v>2</v>
      </c>
      <c r="G26" s="94">
        <f t="shared" si="6"/>
        <v>1</v>
      </c>
    </row>
    <row r="27" spans="1:7" x14ac:dyDescent="0.35">
      <c r="A27">
        <f t="shared" si="4"/>
        <v>14</v>
      </c>
      <c r="B27" s="94">
        <f t="shared" si="0"/>
        <v>1115829.9160295804</v>
      </c>
      <c r="C27" s="94">
        <f t="shared" si="1"/>
        <v>1005730.1741544618</v>
      </c>
      <c r="D27" s="94">
        <f t="shared" si="2"/>
        <v>110099.74187511852</v>
      </c>
      <c r="E27" s="94">
        <f t="shared" si="3"/>
        <v>10597404.453628041</v>
      </c>
      <c r="F27">
        <f t="shared" si="5"/>
        <v>2</v>
      </c>
      <c r="G27" s="94">
        <f t="shared" si="6"/>
        <v>2</v>
      </c>
    </row>
    <row r="28" spans="1:7" x14ac:dyDescent="0.35">
      <c r="A28">
        <f t="shared" si="4"/>
        <v>15</v>
      </c>
      <c r="B28" s="94">
        <f t="shared" si="0"/>
        <v>1115829.9160295804</v>
      </c>
      <c r="C28" s="94">
        <f t="shared" si="1"/>
        <v>1015273.3395250756</v>
      </c>
      <c r="D28" s="94">
        <f t="shared" si="2"/>
        <v>100556.57650450469</v>
      </c>
      <c r="E28" s="94">
        <f t="shared" si="3"/>
        <v>9582131.1141029634</v>
      </c>
      <c r="F28">
        <f t="shared" si="5"/>
        <v>2</v>
      </c>
      <c r="G28" s="94">
        <f t="shared" si="6"/>
        <v>3</v>
      </c>
    </row>
    <row r="29" spans="1:7" x14ac:dyDescent="0.35">
      <c r="A29">
        <f t="shared" si="4"/>
        <v>16</v>
      </c>
      <c r="B29" s="94">
        <f t="shared" si="0"/>
        <v>1115829.9160295804</v>
      </c>
      <c r="C29" s="94">
        <f t="shared" si="1"/>
        <v>1024907.0580158317</v>
      </c>
      <c r="D29" s="94">
        <f t="shared" si="2"/>
        <v>90922.858013748599</v>
      </c>
      <c r="E29" s="94">
        <f t="shared" si="3"/>
        <v>8557224.0560871307</v>
      </c>
      <c r="F29">
        <f t="shared" si="5"/>
        <v>2</v>
      </c>
      <c r="G29" s="94">
        <f t="shared" si="6"/>
        <v>4</v>
      </c>
    </row>
    <row r="30" spans="1:7" x14ac:dyDescent="0.35">
      <c r="A30">
        <f t="shared" si="4"/>
        <v>17</v>
      </c>
      <c r="B30" s="94">
        <f t="shared" si="0"/>
        <v>1115829.9160295804</v>
      </c>
      <c r="C30" s="94">
        <f t="shared" si="1"/>
        <v>1034632.1888665366</v>
      </c>
      <c r="D30" s="94">
        <f t="shared" si="2"/>
        <v>81197.727163043688</v>
      </c>
      <c r="E30" s="94">
        <f t="shared" si="3"/>
        <v>7522591.8672205973</v>
      </c>
      <c r="F30">
        <f t="shared" si="5"/>
        <v>2</v>
      </c>
      <c r="G30" s="94">
        <f t="shared" si="6"/>
        <v>5</v>
      </c>
    </row>
    <row r="31" spans="1:7" x14ac:dyDescent="0.35">
      <c r="A31">
        <f t="shared" si="4"/>
        <v>18</v>
      </c>
      <c r="B31" s="94">
        <f t="shared" si="0"/>
        <v>1115829.9160295804</v>
      </c>
      <c r="C31" s="94">
        <f t="shared" si="1"/>
        <v>1044449.5994701457</v>
      </c>
      <c r="D31" s="94">
        <f t="shared" si="2"/>
        <v>71380.316559434694</v>
      </c>
      <c r="E31" s="94">
        <f t="shared" si="3"/>
        <v>6478142.2677504495</v>
      </c>
      <c r="F31">
        <f t="shared" si="5"/>
        <v>2</v>
      </c>
      <c r="G31" s="94">
        <f t="shared" si="6"/>
        <v>6</v>
      </c>
    </row>
    <row r="32" spans="1:7" x14ac:dyDescent="0.35">
      <c r="A32">
        <f t="shared" si="4"/>
        <v>19</v>
      </c>
      <c r="B32" s="94">
        <f t="shared" si="0"/>
        <v>1115829.9160295804</v>
      </c>
      <c r="C32" s="94">
        <f t="shared" si="1"/>
        <v>1054360.1654501262</v>
      </c>
      <c r="D32" s="94">
        <f t="shared" si="2"/>
        <v>61469.750579454289</v>
      </c>
      <c r="E32" s="94">
        <f t="shared" si="3"/>
        <v>5423782.1023003273</v>
      </c>
      <c r="F32">
        <f t="shared" si="5"/>
        <v>2</v>
      </c>
      <c r="G32" s="94">
        <f t="shared" si="6"/>
        <v>7</v>
      </c>
    </row>
    <row r="33" spans="1:7" x14ac:dyDescent="0.35">
      <c r="A33">
        <f t="shared" si="4"/>
        <v>20</v>
      </c>
      <c r="B33" s="94">
        <f t="shared" si="0"/>
        <v>1115829.9160295802</v>
      </c>
      <c r="C33" s="94">
        <f t="shared" si="1"/>
        <v>1064364.7707385549</v>
      </c>
      <c r="D33" s="94">
        <f t="shared" si="2"/>
        <v>51465.145291025336</v>
      </c>
      <c r="E33" s="94">
        <f t="shared" si="3"/>
        <v>4359417.3315617703</v>
      </c>
      <c r="F33">
        <f t="shared" si="5"/>
        <v>2</v>
      </c>
      <c r="G33" s="94">
        <f t="shared" si="6"/>
        <v>8</v>
      </c>
    </row>
    <row r="34" spans="1:7" x14ac:dyDescent="0.35">
      <c r="A34">
        <f t="shared" si="4"/>
        <v>21</v>
      </c>
      <c r="B34" s="94">
        <f t="shared" si="0"/>
        <v>1115829.9160295802</v>
      </c>
      <c r="C34" s="94">
        <f t="shared" si="1"/>
        <v>1074464.307654958</v>
      </c>
      <c r="D34" s="94">
        <f t="shared" si="2"/>
        <v>41365.608374622207</v>
      </c>
      <c r="E34" s="94">
        <f t="shared" si="3"/>
        <v>3284953.0239068121</v>
      </c>
      <c r="F34">
        <f t="shared" si="5"/>
        <v>2</v>
      </c>
      <c r="G34" s="94">
        <f t="shared" si="6"/>
        <v>9</v>
      </c>
    </row>
    <row r="35" spans="1:7" x14ac:dyDescent="0.35">
      <c r="A35">
        <f t="shared" si="4"/>
        <v>22</v>
      </c>
      <c r="B35" s="94">
        <f t="shared" si="0"/>
        <v>1115829.9160295804</v>
      </c>
      <c r="C35" s="94">
        <f t="shared" si="1"/>
        <v>1084659.6769858962</v>
      </c>
      <c r="D35" s="94">
        <f t="shared" si="2"/>
        <v>31170.239043684182</v>
      </c>
      <c r="E35" s="94">
        <f t="shared" si="3"/>
        <v>2200293.3469209112</v>
      </c>
      <c r="F35">
        <f t="shared" si="5"/>
        <v>2</v>
      </c>
      <c r="G35" s="94">
        <f t="shared" si="6"/>
        <v>10</v>
      </c>
    </row>
    <row r="36" spans="1:7" x14ac:dyDescent="0.35">
      <c r="A36">
        <f t="shared" si="4"/>
        <v>23</v>
      </c>
      <c r="B36" s="94">
        <f t="shared" si="0"/>
        <v>1115829.9160295804</v>
      </c>
      <c r="C36" s="94">
        <f t="shared" si="1"/>
        <v>1094951.7880653071</v>
      </c>
      <c r="D36" s="94">
        <f t="shared" si="2"/>
        <v>20878.127964273281</v>
      </c>
      <c r="E36" s="94">
        <f t="shared" si="3"/>
        <v>1105341.5588556081</v>
      </c>
      <c r="F36">
        <f t="shared" si="5"/>
        <v>2</v>
      </c>
      <c r="G36" s="94">
        <f t="shared" si="6"/>
        <v>11</v>
      </c>
    </row>
    <row r="37" spans="1:7" x14ac:dyDescent="0.35">
      <c r="A37">
        <f t="shared" si="4"/>
        <v>24</v>
      </c>
      <c r="B37" s="94">
        <f t="shared" si="0"/>
        <v>1115829.9160295804</v>
      </c>
      <c r="C37" s="94">
        <f t="shared" si="1"/>
        <v>1105341.5588556102</v>
      </c>
      <c r="D37" s="94">
        <f t="shared" si="2"/>
        <v>10488.357173970124</v>
      </c>
      <c r="E37" s="94">
        <f t="shared" si="3"/>
        <v>0</v>
      </c>
      <c r="F37">
        <f t="shared" si="5"/>
        <v>2</v>
      </c>
      <c r="G37" s="94">
        <f t="shared" si="6"/>
        <v>12</v>
      </c>
    </row>
    <row r="38" spans="1:7" x14ac:dyDescent="0.35">
      <c r="A38" t="str">
        <f t="shared" si="4"/>
        <v>-</v>
      </c>
      <c r="B38" s="94" t="str">
        <f t="shared" si="0"/>
        <v/>
      </c>
      <c r="C38" s="94" t="str">
        <f t="shared" si="1"/>
        <v/>
      </c>
      <c r="D38" s="94" t="str">
        <f t="shared" si="2"/>
        <v/>
      </c>
      <c r="E38" s="94" t="str">
        <f t="shared" si="3"/>
        <v/>
      </c>
      <c r="F38" t="str">
        <f t="shared" si="5"/>
        <v/>
      </c>
      <c r="G38" s="94" t="str">
        <f t="shared" si="6"/>
        <v/>
      </c>
    </row>
    <row r="39" spans="1:7" x14ac:dyDescent="0.35">
      <c r="A39" t="str">
        <f t="shared" si="4"/>
        <v>-</v>
      </c>
      <c r="B39" s="94" t="str">
        <f t="shared" si="0"/>
        <v/>
      </c>
      <c r="C39" s="94" t="str">
        <f t="shared" si="1"/>
        <v/>
      </c>
      <c r="D39" s="94" t="str">
        <f t="shared" si="2"/>
        <v/>
      </c>
      <c r="E39" s="94" t="str">
        <f t="shared" si="3"/>
        <v/>
      </c>
      <c r="F39" t="str">
        <f t="shared" si="5"/>
        <v/>
      </c>
      <c r="G39" s="94" t="str">
        <f t="shared" si="6"/>
        <v/>
      </c>
    </row>
    <row r="40" spans="1:7" x14ac:dyDescent="0.35">
      <c r="A40" t="str">
        <f t="shared" si="4"/>
        <v>-</v>
      </c>
      <c r="B40" s="94" t="str">
        <f t="shared" si="0"/>
        <v/>
      </c>
      <c r="C40" s="94" t="str">
        <f t="shared" si="1"/>
        <v/>
      </c>
      <c r="D40" s="94" t="str">
        <f t="shared" si="2"/>
        <v/>
      </c>
      <c r="E40" s="94" t="str">
        <f t="shared" si="3"/>
        <v/>
      </c>
      <c r="F40" t="str">
        <f t="shared" si="5"/>
        <v/>
      </c>
      <c r="G40" s="94" t="str">
        <f t="shared" si="6"/>
        <v/>
      </c>
    </row>
    <row r="41" spans="1:7" x14ac:dyDescent="0.35">
      <c r="A41" t="str">
        <f t="shared" si="4"/>
        <v>-</v>
      </c>
      <c r="B41" s="94" t="str">
        <f t="shared" si="0"/>
        <v/>
      </c>
      <c r="C41" s="94" t="str">
        <f t="shared" si="1"/>
        <v/>
      </c>
      <c r="D41" s="94" t="str">
        <f t="shared" si="2"/>
        <v/>
      </c>
      <c r="E41" s="94" t="str">
        <f t="shared" si="3"/>
        <v/>
      </c>
      <c r="F41" t="str">
        <f t="shared" si="5"/>
        <v/>
      </c>
      <c r="G41" s="94" t="str">
        <f t="shared" si="6"/>
        <v/>
      </c>
    </row>
    <row r="42" spans="1:7" x14ac:dyDescent="0.35">
      <c r="A42" t="str">
        <f t="shared" si="4"/>
        <v>-</v>
      </c>
      <c r="B42" s="94" t="str">
        <f t="shared" si="0"/>
        <v/>
      </c>
      <c r="C42" s="94" t="str">
        <f t="shared" si="1"/>
        <v/>
      </c>
      <c r="D42" s="94" t="str">
        <f t="shared" si="2"/>
        <v/>
      </c>
      <c r="E42" s="94" t="str">
        <f t="shared" si="3"/>
        <v/>
      </c>
      <c r="F42" t="str">
        <f t="shared" si="5"/>
        <v/>
      </c>
      <c r="G42" s="94" t="str">
        <f t="shared" si="6"/>
        <v/>
      </c>
    </row>
    <row r="43" spans="1:7" x14ac:dyDescent="0.35">
      <c r="A43" t="str">
        <f t="shared" si="4"/>
        <v>-</v>
      </c>
      <c r="B43" s="94" t="str">
        <f t="shared" si="0"/>
        <v/>
      </c>
      <c r="C43" s="94" t="str">
        <f t="shared" si="1"/>
        <v/>
      </c>
      <c r="D43" s="94" t="str">
        <f t="shared" si="2"/>
        <v/>
      </c>
      <c r="E43" s="94" t="str">
        <f t="shared" si="3"/>
        <v/>
      </c>
      <c r="F43" t="str">
        <f t="shared" si="5"/>
        <v/>
      </c>
      <c r="G43" s="94" t="str">
        <f t="shared" si="6"/>
        <v/>
      </c>
    </row>
    <row r="44" spans="1:7" x14ac:dyDescent="0.35">
      <c r="A44" t="str">
        <f t="shared" si="4"/>
        <v>-</v>
      </c>
      <c r="B44" s="94" t="str">
        <f t="shared" si="0"/>
        <v/>
      </c>
      <c r="C44" s="94" t="str">
        <f t="shared" si="1"/>
        <v/>
      </c>
      <c r="D44" s="94" t="str">
        <f t="shared" si="2"/>
        <v/>
      </c>
      <c r="E44" s="94" t="str">
        <f t="shared" si="3"/>
        <v/>
      </c>
      <c r="F44" t="str">
        <f t="shared" si="5"/>
        <v/>
      </c>
      <c r="G44" s="94" t="str">
        <f t="shared" si="6"/>
        <v/>
      </c>
    </row>
    <row r="45" spans="1:7" x14ac:dyDescent="0.35">
      <c r="A45" t="str">
        <f t="shared" si="4"/>
        <v>-</v>
      </c>
      <c r="B45" s="94" t="str">
        <f t="shared" si="0"/>
        <v/>
      </c>
      <c r="C45" s="94" t="str">
        <f t="shared" si="1"/>
        <v/>
      </c>
      <c r="D45" s="94" t="str">
        <f t="shared" si="2"/>
        <v/>
      </c>
      <c r="E45" s="94" t="str">
        <f t="shared" si="3"/>
        <v/>
      </c>
      <c r="F45" t="str">
        <f t="shared" si="5"/>
        <v/>
      </c>
      <c r="G45" s="94" t="str">
        <f t="shared" si="6"/>
        <v/>
      </c>
    </row>
    <row r="46" spans="1:7" x14ac:dyDescent="0.35">
      <c r="A46" t="str">
        <f t="shared" si="4"/>
        <v>-</v>
      </c>
      <c r="B46" s="94" t="str">
        <f t="shared" si="0"/>
        <v/>
      </c>
      <c r="C46" s="94" t="str">
        <f t="shared" si="1"/>
        <v/>
      </c>
      <c r="D46" s="94" t="str">
        <f t="shared" si="2"/>
        <v/>
      </c>
      <c r="E46" s="94" t="str">
        <f t="shared" si="3"/>
        <v/>
      </c>
      <c r="F46" t="str">
        <f t="shared" si="5"/>
        <v/>
      </c>
      <c r="G46" s="94" t="str">
        <f t="shared" si="6"/>
        <v/>
      </c>
    </row>
    <row r="47" spans="1:7" x14ac:dyDescent="0.35">
      <c r="A47" t="str">
        <f t="shared" si="4"/>
        <v>-</v>
      </c>
      <c r="B47" s="94" t="str">
        <f t="shared" si="0"/>
        <v/>
      </c>
      <c r="C47" s="94" t="str">
        <f t="shared" si="1"/>
        <v/>
      </c>
      <c r="D47" s="94" t="str">
        <f t="shared" si="2"/>
        <v/>
      </c>
      <c r="E47" s="94" t="str">
        <f t="shared" si="3"/>
        <v/>
      </c>
      <c r="F47" t="str">
        <f t="shared" si="5"/>
        <v/>
      </c>
      <c r="G47" s="94" t="str">
        <f t="shared" si="6"/>
        <v/>
      </c>
    </row>
    <row r="48" spans="1:7" x14ac:dyDescent="0.35">
      <c r="A48" t="str">
        <f t="shared" si="4"/>
        <v>-</v>
      </c>
      <c r="B48" s="94" t="str">
        <f t="shared" si="0"/>
        <v/>
      </c>
      <c r="C48" s="94" t="str">
        <f t="shared" si="1"/>
        <v/>
      </c>
      <c r="D48" s="94" t="str">
        <f t="shared" si="2"/>
        <v/>
      </c>
      <c r="E48" s="94" t="str">
        <f t="shared" si="3"/>
        <v/>
      </c>
      <c r="F48" t="str">
        <f t="shared" si="5"/>
        <v/>
      </c>
      <c r="G48" s="94" t="str">
        <f t="shared" si="6"/>
        <v/>
      </c>
    </row>
    <row r="49" spans="1:7" x14ac:dyDescent="0.35">
      <c r="A49" t="str">
        <f t="shared" si="4"/>
        <v>-</v>
      </c>
      <c r="B49" s="94" t="str">
        <f t="shared" si="0"/>
        <v/>
      </c>
      <c r="C49" s="94" t="str">
        <f t="shared" si="1"/>
        <v/>
      </c>
      <c r="D49" s="94" t="str">
        <f t="shared" si="2"/>
        <v/>
      </c>
      <c r="E49" s="94" t="str">
        <f t="shared" si="3"/>
        <v/>
      </c>
      <c r="F49" t="str">
        <f t="shared" si="5"/>
        <v/>
      </c>
      <c r="G49" s="94" t="str">
        <f t="shared" si="6"/>
        <v/>
      </c>
    </row>
    <row r="50" spans="1:7" x14ac:dyDescent="0.35">
      <c r="A50" t="str">
        <f t="shared" si="4"/>
        <v>-</v>
      </c>
      <c r="B50" s="94" t="str">
        <f t="shared" si="0"/>
        <v/>
      </c>
      <c r="C50" s="94" t="str">
        <f t="shared" si="1"/>
        <v/>
      </c>
      <c r="D50" s="94" t="str">
        <f t="shared" si="2"/>
        <v/>
      </c>
      <c r="E50" s="94" t="str">
        <f t="shared" si="3"/>
        <v/>
      </c>
      <c r="F50" t="str">
        <f t="shared" si="5"/>
        <v/>
      </c>
      <c r="G50" s="94" t="str">
        <f t="shared" si="6"/>
        <v/>
      </c>
    </row>
    <row r="51" spans="1:7" x14ac:dyDescent="0.35">
      <c r="A51" t="str">
        <f t="shared" si="4"/>
        <v>-</v>
      </c>
      <c r="B51" s="94" t="str">
        <f t="shared" si="0"/>
        <v/>
      </c>
      <c r="C51" s="94" t="str">
        <f t="shared" si="1"/>
        <v/>
      </c>
      <c r="D51" s="94" t="str">
        <f t="shared" si="2"/>
        <v/>
      </c>
      <c r="E51" s="94" t="str">
        <f t="shared" si="3"/>
        <v/>
      </c>
      <c r="F51" t="str">
        <f t="shared" si="5"/>
        <v/>
      </c>
      <c r="G51" s="94" t="str">
        <f t="shared" si="6"/>
        <v/>
      </c>
    </row>
    <row r="52" spans="1:7" x14ac:dyDescent="0.35">
      <c r="A52" t="str">
        <f t="shared" si="4"/>
        <v>-</v>
      </c>
      <c r="B52" s="94" t="str">
        <f t="shared" si="0"/>
        <v/>
      </c>
      <c r="C52" s="94" t="str">
        <f t="shared" si="1"/>
        <v/>
      </c>
      <c r="D52" s="94" t="str">
        <f t="shared" si="2"/>
        <v/>
      </c>
      <c r="E52" s="94" t="str">
        <f t="shared" si="3"/>
        <v/>
      </c>
      <c r="F52" t="str">
        <f t="shared" si="5"/>
        <v/>
      </c>
      <c r="G52" s="94" t="str">
        <f t="shared" si="6"/>
        <v/>
      </c>
    </row>
    <row r="53" spans="1:7" x14ac:dyDescent="0.35">
      <c r="A53" t="str">
        <f t="shared" si="4"/>
        <v>-</v>
      </c>
      <c r="B53" s="94" t="str">
        <f t="shared" si="0"/>
        <v/>
      </c>
      <c r="C53" s="94" t="str">
        <f t="shared" si="1"/>
        <v/>
      </c>
      <c r="D53" s="94" t="str">
        <f t="shared" si="2"/>
        <v/>
      </c>
      <c r="E53" s="94" t="str">
        <f t="shared" si="3"/>
        <v/>
      </c>
      <c r="F53" t="str">
        <f t="shared" si="5"/>
        <v/>
      </c>
      <c r="G53" s="94" t="str">
        <f t="shared" si="6"/>
        <v/>
      </c>
    </row>
    <row r="54" spans="1:7" x14ac:dyDescent="0.35">
      <c r="A54" t="str">
        <f t="shared" si="4"/>
        <v>-</v>
      </c>
      <c r="B54" s="94" t="str">
        <f t="shared" si="0"/>
        <v/>
      </c>
      <c r="C54" s="94" t="str">
        <f t="shared" si="1"/>
        <v/>
      </c>
      <c r="D54" s="94" t="str">
        <f t="shared" si="2"/>
        <v/>
      </c>
      <c r="E54" s="94" t="str">
        <f t="shared" si="3"/>
        <v/>
      </c>
      <c r="F54" t="str">
        <f t="shared" si="5"/>
        <v/>
      </c>
      <c r="G54" s="94" t="str">
        <f t="shared" si="6"/>
        <v/>
      </c>
    </row>
    <row r="55" spans="1:7" x14ac:dyDescent="0.35">
      <c r="A55" t="str">
        <f t="shared" si="4"/>
        <v>-</v>
      </c>
      <c r="B55" s="94" t="str">
        <f t="shared" si="0"/>
        <v/>
      </c>
      <c r="C55" s="94" t="str">
        <f t="shared" si="1"/>
        <v/>
      </c>
      <c r="D55" s="94" t="str">
        <f t="shared" si="2"/>
        <v/>
      </c>
      <c r="E55" s="94" t="str">
        <f t="shared" si="3"/>
        <v/>
      </c>
      <c r="F55" t="str">
        <f t="shared" si="5"/>
        <v/>
      </c>
      <c r="G55" s="94" t="str">
        <f t="shared" si="6"/>
        <v/>
      </c>
    </row>
    <row r="56" spans="1:7" x14ac:dyDescent="0.35">
      <c r="A56" t="str">
        <f t="shared" si="4"/>
        <v>-</v>
      </c>
      <c r="B56" s="94" t="str">
        <f t="shared" si="0"/>
        <v/>
      </c>
      <c r="C56" s="94" t="str">
        <f t="shared" si="1"/>
        <v/>
      </c>
      <c r="D56" s="94" t="str">
        <f t="shared" si="2"/>
        <v/>
      </c>
      <c r="E56" s="94" t="str">
        <f t="shared" si="3"/>
        <v/>
      </c>
      <c r="F56" t="str">
        <f t="shared" si="5"/>
        <v/>
      </c>
      <c r="G56" s="94" t="str">
        <f t="shared" si="6"/>
        <v/>
      </c>
    </row>
    <row r="57" spans="1:7" x14ac:dyDescent="0.35">
      <c r="A57" t="str">
        <f t="shared" si="4"/>
        <v>-</v>
      </c>
      <c r="B57" s="94" t="str">
        <f t="shared" si="0"/>
        <v/>
      </c>
      <c r="C57" s="94" t="str">
        <f t="shared" si="1"/>
        <v/>
      </c>
      <c r="D57" s="94" t="str">
        <f t="shared" si="2"/>
        <v/>
      </c>
      <c r="E57" s="94" t="str">
        <f t="shared" si="3"/>
        <v/>
      </c>
      <c r="F57" t="str">
        <f t="shared" si="5"/>
        <v/>
      </c>
      <c r="G57" s="94" t="str">
        <f t="shared" si="6"/>
        <v/>
      </c>
    </row>
    <row r="58" spans="1:7" x14ac:dyDescent="0.35">
      <c r="A58" t="str">
        <f t="shared" si="4"/>
        <v>-</v>
      </c>
      <c r="B58" s="94" t="str">
        <f t="shared" si="0"/>
        <v/>
      </c>
      <c r="C58" s="94" t="str">
        <f t="shared" si="1"/>
        <v/>
      </c>
      <c r="D58" s="94" t="str">
        <f t="shared" si="2"/>
        <v/>
      </c>
      <c r="E58" s="94" t="str">
        <f t="shared" si="3"/>
        <v/>
      </c>
      <c r="F58" t="str">
        <f t="shared" si="5"/>
        <v/>
      </c>
      <c r="G58" s="94" t="str">
        <f t="shared" si="6"/>
        <v/>
      </c>
    </row>
    <row r="59" spans="1:7" x14ac:dyDescent="0.35">
      <c r="A59" t="str">
        <f t="shared" si="4"/>
        <v>-</v>
      </c>
      <c r="B59" s="94" t="str">
        <f t="shared" si="0"/>
        <v/>
      </c>
      <c r="C59" s="94" t="str">
        <f t="shared" si="1"/>
        <v/>
      </c>
      <c r="D59" s="94" t="str">
        <f t="shared" si="2"/>
        <v/>
      </c>
      <c r="E59" s="94" t="str">
        <f t="shared" si="3"/>
        <v/>
      </c>
      <c r="F59" t="str">
        <f t="shared" si="5"/>
        <v/>
      </c>
      <c r="G59" s="94" t="str">
        <f t="shared" si="6"/>
        <v/>
      </c>
    </row>
    <row r="60" spans="1:7" x14ac:dyDescent="0.35">
      <c r="A60" t="str">
        <f t="shared" si="4"/>
        <v>-</v>
      </c>
      <c r="B60" s="94" t="str">
        <f t="shared" si="0"/>
        <v/>
      </c>
      <c r="C60" s="94" t="str">
        <f t="shared" si="1"/>
        <v/>
      </c>
      <c r="D60" s="94" t="str">
        <f t="shared" si="2"/>
        <v/>
      </c>
      <c r="E60" s="94" t="str">
        <f t="shared" si="3"/>
        <v/>
      </c>
      <c r="F60" t="str">
        <f t="shared" si="5"/>
        <v/>
      </c>
      <c r="G60" s="94" t="str">
        <f t="shared" si="6"/>
        <v/>
      </c>
    </row>
    <row r="61" spans="1:7" x14ac:dyDescent="0.35">
      <c r="A61" t="str">
        <f t="shared" si="4"/>
        <v>-</v>
      </c>
      <c r="B61" s="94" t="str">
        <f t="shared" si="0"/>
        <v/>
      </c>
      <c r="C61" s="94" t="str">
        <f t="shared" si="1"/>
        <v/>
      </c>
      <c r="D61" s="94" t="str">
        <f t="shared" si="2"/>
        <v/>
      </c>
      <c r="E61" s="94" t="str">
        <f t="shared" si="3"/>
        <v/>
      </c>
      <c r="F61" t="str">
        <f t="shared" si="5"/>
        <v/>
      </c>
      <c r="G61" s="94" t="str">
        <f t="shared" si="6"/>
        <v/>
      </c>
    </row>
    <row r="62" spans="1:7" x14ac:dyDescent="0.35">
      <c r="A62" t="str">
        <f t="shared" si="4"/>
        <v>-</v>
      </c>
      <c r="B62" s="94" t="str">
        <f t="shared" si="0"/>
        <v/>
      </c>
      <c r="C62" s="94" t="str">
        <f t="shared" si="1"/>
        <v/>
      </c>
      <c r="D62" s="94" t="str">
        <f t="shared" si="2"/>
        <v/>
      </c>
      <c r="E62" s="94" t="str">
        <f t="shared" si="3"/>
        <v/>
      </c>
      <c r="F62" t="str">
        <f t="shared" si="5"/>
        <v/>
      </c>
      <c r="G62" s="94" t="str">
        <f t="shared" si="6"/>
        <v/>
      </c>
    </row>
    <row r="63" spans="1:7" x14ac:dyDescent="0.35">
      <c r="A63" t="str">
        <f t="shared" si="4"/>
        <v>-</v>
      </c>
      <c r="B63" s="94" t="str">
        <f t="shared" si="0"/>
        <v/>
      </c>
      <c r="C63" s="94" t="str">
        <f t="shared" si="1"/>
        <v/>
      </c>
      <c r="D63" s="94" t="str">
        <f t="shared" si="2"/>
        <v/>
      </c>
      <c r="E63" s="94" t="str">
        <f t="shared" si="3"/>
        <v/>
      </c>
      <c r="F63" t="str">
        <f t="shared" si="5"/>
        <v/>
      </c>
      <c r="G63" s="94" t="str">
        <f t="shared" si="6"/>
        <v/>
      </c>
    </row>
    <row r="64" spans="1:7" x14ac:dyDescent="0.35">
      <c r="A64" t="str">
        <f t="shared" si="4"/>
        <v>-</v>
      </c>
      <c r="B64" s="94" t="str">
        <f t="shared" si="0"/>
        <v/>
      </c>
      <c r="C64" s="94" t="str">
        <f t="shared" si="1"/>
        <v/>
      </c>
      <c r="D64" s="94" t="str">
        <f t="shared" si="2"/>
        <v/>
      </c>
      <c r="E64" s="94" t="str">
        <f t="shared" si="3"/>
        <v/>
      </c>
      <c r="F64" t="str">
        <f t="shared" si="5"/>
        <v/>
      </c>
      <c r="G64" s="94" t="str">
        <f t="shared" si="6"/>
        <v/>
      </c>
    </row>
    <row r="65" spans="1:7" x14ac:dyDescent="0.35">
      <c r="A65" t="str">
        <f t="shared" si="4"/>
        <v>-</v>
      </c>
      <c r="B65" s="94" t="str">
        <f t="shared" si="0"/>
        <v/>
      </c>
      <c r="C65" s="94" t="str">
        <f t="shared" si="1"/>
        <v/>
      </c>
      <c r="D65" s="94" t="str">
        <f t="shared" si="2"/>
        <v/>
      </c>
      <c r="E65" s="94" t="str">
        <f t="shared" si="3"/>
        <v/>
      </c>
      <c r="F65" t="str">
        <f t="shared" si="5"/>
        <v/>
      </c>
      <c r="G65" s="94" t="str">
        <f t="shared" si="6"/>
        <v/>
      </c>
    </row>
    <row r="66" spans="1:7" x14ac:dyDescent="0.35">
      <c r="A66" t="str">
        <f t="shared" si="4"/>
        <v>-</v>
      </c>
      <c r="B66" s="94" t="str">
        <f t="shared" si="0"/>
        <v/>
      </c>
      <c r="C66" s="94" t="str">
        <f t="shared" si="1"/>
        <v/>
      </c>
      <c r="D66" s="94" t="str">
        <f t="shared" si="2"/>
        <v/>
      </c>
      <c r="E66" s="94" t="str">
        <f t="shared" si="3"/>
        <v/>
      </c>
      <c r="F66" t="str">
        <f t="shared" si="5"/>
        <v/>
      </c>
      <c r="G66" s="94" t="str">
        <f t="shared" si="6"/>
        <v/>
      </c>
    </row>
    <row r="67" spans="1:7" x14ac:dyDescent="0.35">
      <c r="A67" t="str">
        <f t="shared" si="4"/>
        <v>-</v>
      </c>
      <c r="B67" s="94" t="str">
        <f t="shared" si="0"/>
        <v/>
      </c>
      <c r="C67" s="94" t="str">
        <f t="shared" si="1"/>
        <v/>
      </c>
      <c r="D67" s="94" t="str">
        <f t="shared" si="2"/>
        <v/>
      </c>
      <c r="E67" s="94" t="str">
        <f t="shared" si="3"/>
        <v/>
      </c>
      <c r="F67" t="str">
        <f t="shared" si="5"/>
        <v/>
      </c>
      <c r="G67" s="94" t="str">
        <f t="shared" si="6"/>
        <v/>
      </c>
    </row>
    <row r="68" spans="1:7" x14ac:dyDescent="0.35">
      <c r="A68" t="str">
        <f t="shared" si="4"/>
        <v>-</v>
      </c>
      <c r="B68" s="94" t="str">
        <f t="shared" si="0"/>
        <v/>
      </c>
      <c r="C68" s="94" t="str">
        <f t="shared" si="1"/>
        <v/>
      </c>
      <c r="D68" s="94" t="str">
        <f t="shared" si="2"/>
        <v/>
      </c>
      <c r="E68" s="94" t="str">
        <f t="shared" si="3"/>
        <v/>
      </c>
      <c r="F68" t="str">
        <f t="shared" si="5"/>
        <v/>
      </c>
      <c r="G68" s="94" t="str">
        <f t="shared" si="6"/>
        <v/>
      </c>
    </row>
    <row r="69" spans="1:7" x14ac:dyDescent="0.35">
      <c r="A69" t="str">
        <f t="shared" si="4"/>
        <v>-</v>
      </c>
      <c r="B69" s="94" t="str">
        <f t="shared" si="0"/>
        <v/>
      </c>
      <c r="C69" s="94" t="str">
        <f t="shared" si="1"/>
        <v/>
      </c>
      <c r="D69" s="94" t="str">
        <f t="shared" si="2"/>
        <v/>
      </c>
      <c r="E69" s="94" t="str">
        <f t="shared" si="3"/>
        <v/>
      </c>
      <c r="F69" t="str">
        <f t="shared" si="5"/>
        <v/>
      </c>
      <c r="G69" s="94" t="str">
        <f t="shared" si="6"/>
        <v/>
      </c>
    </row>
    <row r="70" spans="1:7" x14ac:dyDescent="0.35">
      <c r="A70" t="str">
        <f t="shared" si="4"/>
        <v>-</v>
      </c>
      <c r="B70" s="94" t="str">
        <f t="shared" si="0"/>
        <v/>
      </c>
      <c r="C70" s="94" t="str">
        <f t="shared" si="1"/>
        <v/>
      </c>
      <c r="D70" s="94" t="str">
        <f t="shared" si="2"/>
        <v/>
      </c>
      <c r="E70" s="94" t="str">
        <f t="shared" si="3"/>
        <v/>
      </c>
      <c r="F70" t="str">
        <f t="shared" si="5"/>
        <v/>
      </c>
      <c r="G70" s="94" t="str">
        <f t="shared" si="6"/>
        <v/>
      </c>
    </row>
    <row r="71" spans="1:7" x14ac:dyDescent="0.35">
      <c r="A71" t="str">
        <f t="shared" si="4"/>
        <v>-</v>
      </c>
      <c r="B71" s="94" t="str">
        <f t="shared" si="0"/>
        <v/>
      </c>
      <c r="C71" s="94" t="str">
        <f t="shared" si="1"/>
        <v/>
      </c>
      <c r="D71" s="94" t="str">
        <f t="shared" si="2"/>
        <v/>
      </c>
      <c r="E71" s="94" t="str">
        <f t="shared" si="3"/>
        <v/>
      </c>
      <c r="F71" t="str">
        <f t="shared" si="5"/>
        <v/>
      </c>
      <c r="G71" s="94" t="str">
        <f t="shared" si="6"/>
        <v/>
      </c>
    </row>
    <row r="72" spans="1:7" x14ac:dyDescent="0.35">
      <c r="A72" t="str">
        <f t="shared" si="4"/>
        <v>-</v>
      </c>
      <c r="B72" s="94" t="str">
        <f t="shared" si="0"/>
        <v/>
      </c>
      <c r="C72" s="94" t="str">
        <f t="shared" si="1"/>
        <v/>
      </c>
      <c r="D72" s="94" t="str">
        <f t="shared" si="2"/>
        <v/>
      </c>
      <c r="E72" s="94" t="str">
        <f t="shared" si="3"/>
        <v/>
      </c>
      <c r="F72" t="str">
        <f t="shared" si="5"/>
        <v/>
      </c>
      <c r="G72" s="94" t="str">
        <f t="shared" si="6"/>
        <v/>
      </c>
    </row>
    <row r="73" spans="1:7" x14ac:dyDescent="0.35">
      <c r="A73" t="str">
        <f t="shared" si="4"/>
        <v>-</v>
      </c>
      <c r="B73" s="94" t="str">
        <f t="shared" si="0"/>
        <v/>
      </c>
      <c r="C73" s="94" t="str">
        <f t="shared" si="1"/>
        <v/>
      </c>
      <c r="D73" s="94" t="str">
        <f t="shared" si="2"/>
        <v/>
      </c>
      <c r="E73" s="94" t="str">
        <f t="shared" si="3"/>
        <v/>
      </c>
      <c r="F73" t="str">
        <f t="shared" si="5"/>
        <v/>
      </c>
      <c r="G73" s="94" t="str">
        <f t="shared" si="6"/>
        <v/>
      </c>
    </row>
    <row r="74" spans="1:7" x14ac:dyDescent="0.35">
      <c r="A74" t="str">
        <f t="shared" si="4"/>
        <v>-</v>
      </c>
      <c r="B74" s="94" t="str">
        <f t="shared" si="0"/>
        <v/>
      </c>
      <c r="C74" s="94" t="str">
        <f t="shared" si="1"/>
        <v/>
      </c>
      <c r="D74" s="94" t="str">
        <f t="shared" si="2"/>
        <v/>
      </c>
      <c r="E74" s="94" t="str">
        <f t="shared" si="3"/>
        <v/>
      </c>
      <c r="F74" t="str">
        <f t="shared" si="5"/>
        <v/>
      </c>
      <c r="G74" s="94" t="str">
        <f t="shared" si="6"/>
        <v/>
      </c>
    </row>
    <row r="75" spans="1:7" x14ac:dyDescent="0.35">
      <c r="A75" t="str">
        <f t="shared" si="4"/>
        <v>-</v>
      </c>
      <c r="B75" s="94" t="str">
        <f t="shared" si="0"/>
        <v/>
      </c>
      <c r="C75" s="94" t="str">
        <f t="shared" si="1"/>
        <v/>
      </c>
      <c r="D75" s="94" t="str">
        <f t="shared" si="2"/>
        <v/>
      </c>
      <c r="E75" s="94" t="str">
        <f t="shared" si="3"/>
        <v/>
      </c>
      <c r="F75" t="str">
        <f t="shared" si="5"/>
        <v/>
      </c>
      <c r="G75" s="94" t="str">
        <f t="shared" si="6"/>
        <v/>
      </c>
    </row>
    <row r="76" spans="1:7" x14ac:dyDescent="0.35">
      <c r="A76" t="str">
        <f t="shared" si="4"/>
        <v>-</v>
      </c>
      <c r="B76" s="94" t="str">
        <f t="shared" si="0"/>
        <v/>
      </c>
      <c r="C76" s="94" t="str">
        <f t="shared" si="1"/>
        <v/>
      </c>
      <c r="D76" s="94" t="str">
        <f t="shared" si="2"/>
        <v/>
      </c>
      <c r="E76" s="94" t="str">
        <f t="shared" si="3"/>
        <v/>
      </c>
      <c r="F76" t="str">
        <f t="shared" si="5"/>
        <v/>
      </c>
      <c r="G76" s="94" t="str">
        <f t="shared" si="6"/>
        <v/>
      </c>
    </row>
    <row r="77" spans="1:7" x14ac:dyDescent="0.35">
      <c r="A77" t="str">
        <f t="shared" si="4"/>
        <v>-</v>
      </c>
      <c r="B77" s="94" t="str">
        <f t="shared" si="0"/>
        <v/>
      </c>
      <c r="C77" s="94" t="str">
        <f t="shared" si="1"/>
        <v/>
      </c>
      <c r="D77" s="94" t="str">
        <f t="shared" si="2"/>
        <v/>
      </c>
      <c r="E77" s="94" t="str">
        <f t="shared" si="3"/>
        <v/>
      </c>
      <c r="F77" t="str">
        <f t="shared" si="5"/>
        <v/>
      </c>
      <c r="G77" s="94" t="str">
        <f t="shared" si="6"/>
        <v/>
      </c>
    </row>
    <row r="78" spans="1:7" x14ac:dyDescent="0.35">
      <c r="A78" t="str">
        <f t="shared" si="4"/>
        <v>-</v>
      </c>
      <c r="B78" s="94" t="str">
        <f t="shared" si="0"/>
        <v/>
      </c>
      <c r="C78" s="94" t="str">
        <f t="shared" si="1"/>
        <v/>
      </c>
      <c r="D78" s="94" t="str">
        <f t="shared" si="2"/>
        <v/>
      </c>
      <c r="E78" s="94" t="str">
        <f t="shared" si="3"/>
        <v/>
      </c>
      <c r="F78" t="str">
        <f t="shared" si="5"/>
        <v/>
      </c>
      <c r="G78" s="94" t="str">
        <f t="shared" si="6"/>
        <v/>
      </c>
    </row>
    <row r="79" spans="1:7" x14ac:dyDescent="0.35">
      <c r="A79" t="str">
        <f t="shared" si="4"/>
        <v>-</v>
      </c>
      <c r="B79" s="94" t="str">
        <f t="shared" ref="B79:B133" si="7">IF(A79&lt;&gt;"-",C79+D79,"")</f>
        <v/>
      </c>
      <c r="C79" s="94" t="str">
        <f t="shared" ref="C79:C133" si="8">IF(A79&lt;&gt;"-",-PPMT((1+$B$2)^(1/12)-1,A79,$B$4*12,$B$3),"")</f>
        <v/>
      </c>
      <c r="D79" s="94" t="str">
        <f t="shared" ref="D79:D133" si="9">IF(A79&lt;&gt;"-",-IPMT((1+$B$2)^(1/12)-1,A79,$B$4*12,$B$3),"")</f>
        <v/>
      </c>
      <c r="E79" s="94" t="str">
        <f t="shared" ref="E79:E133" si="10">IF(A79&lt;&gt;"-",$B$3+CUMPRINC((1+$B$2)^(1/12)-1,$B$4*12,$B$3,1,A79,0),"")</f>
        <v/>
      </c>
      <c r="F79" t="str">
        <f t="shared" si="5"/>
        <v/>
      </c>
      <c r="G79" s="94" t="str">
        <f t="shared" si="6"/>
        <v/>
      </c>
    </row>
    <row r="80" spans="1:7" x14ac:dyDescent="0.35">
      <c r="A80" t="str">
        <f t="shared" ref="A80:A133" si="11">IF(AND($B$4&lt;&gt;0,A79&lt;$C$4),A79+1,"-")</f>
        <v>-</v>
      </c>
      <c r="B80" s="94" t="str">
        <f t="shared" si="7"/>
        <v/>
      </c>
      <c r="C80" s="94" t="str">
        <f t="shared" si="8"/>
        <v/>
      </c>
      <c r="D80" s="94" t="str">
        <f t="shared" si="9"/>
        <v/>
      </c>
      <c r="E80" s="94" t="str">
        <f t="shared" si="10"/>
        <v/>
      </c>
      <c r="F80" t="str">
        <f t="shared" ref="F80:F133" si="12">IF(A80&lt;&gt;"-",IF(G79&lt;G80,F79,F79+1),"")</f>
        <v/>
      </c>
      <c r="G80" s="94" t="str">
        <f t="shared" ref="G80:G133" si="13">IF(A80="-","",IF(G79&lt;12,G79+1,1))</f>
        <v/>
      </c>
    </row>
    <row r="81" spans="1:7" x14ac:dyDescent="0.35">
      <c r="A81" t="str">
        <f t="shared" si="11"/>
        <v>-</v>
      </c>
      <c r="B81" s="94" t="str">
        <f t="shared" si="7"/>
        <v/>
      </c>
      <c r="C81" s="94" t="str">
        <f t="shared" si="8"/>
        <v/>
      </c>
      <c r="D81" s="94" t="str">
        <f t="shared" si="9"/>
        <v/>
      </c>
      <c r="E81" s="94" t="str">
        <f t="shared" si="10"/>
        <v/>
      </c>
      <c r="F81" t="str">
        <f t="shared" si="12"/>
        <v/>
      </c>
      <c r="G81" s="94" t="str">
        <f t="shared" si="13"/>
        <v/>
      </c>
    </row>
    <row r="82" spans="1:7" x14ac:dyDescent="0.35">
      <c r="A82" t="str">
        <f t="shared" si="11"/>
        <v>-</v>
      </c>
      <c r="B82" s="94" t="str">
        <f t="shared" si="7"/>
        <v/>
      </c>
      <c r="C82" s="94" t="str">
        <f t="shared" si="8"/>
        <v/>
      </c>
      <c r="D82" s="94" t="str">
        <f t="shared" si="9"/>
        <v/>
      </c>
      <c r="E82" s="94" t="str">
        <f t="shared" si="10"/>
        <v/>
      </c>
      <c r="F82" t="str">
        <f t="shared" si="12"/>
        <v/>
      </c>
      <c r="G82" s="94" t="str">
        <f t="shared" si="13"/>
        <v/>
      </c>
    </row>
    <row r="83" spans="1:7" x14ac:dyDescent="0.35">
      <c r="A83" t="str">
        <f t="shared" si="11"/>
        <v>-</v>
      </c>
      <c r="B83" s="94" t="str">
        <f t="shared" si="7"/>
        <v/>
      </c>
      <c r="C83" s="94" t="str">
        <f t="shared" si="8"/>
        <v/>
      </c>
      <c r="D83" s="94" t="str">
        <f t="shared" si="9"/>
        <v/>
      </c>
      <c r="E83" s="94" t="str">
        <f t="shared" si="10"/>
        <v/>
      </c>
      <c r="F83" t="str">
        <f t="shared" si="12"/>
        <v/>
      </c>
      <c r="G83" s="94" t="str">
        <f t="shared" si="13"/>
        <v/>
      </c>
    </row>
    <row r="84" spans="1:7" x14ac:dyDescent="0.35">
      <c r="A84" t="str">
        <f t="shared" si="11"/>
        <v>-</v>
      </c>
      <c r="B84" s="94" t="str">
        <f t="shared" si="7"/>
        <v/>
      </c>
      <c r="C84" s="94" t="str">
        <f t="shared" si="8"/>
        <v/>
      </c>
      <c r="D84" s="94" t="str">
        <f t="shared" si="9"/>
        <v/>
      </c>
      <c r="E84" s="94" t="str">
        <f t="shared" si="10"/>
        <v/>
      </c>
      <c r="F84" t="str">
        <f t="shared" si="12"/>
        <v/>
      </c>
      <c r="G84" s="94" t="str">
        <f t="shared" si="13"/>
        <v/>
      </c>
    </row>
    <row r="85" spans="1:7" x14ac:dyDescent="0.35">
      <c r="A85" t="str">
        <f t="shared" si="11"/>
        <v>-</v>
      </c>
      <c r="B85" s="94" t="str">
        <f t="shared" si="7"/>
        <v/>
      </c>
      <c r="C85" s="94" t="str">
        <f t="shared" si="8"/>
        <v/>
      </c>
      <c r="D85" s="94" t="str">
        <f t="shared" si="9"/>
        <v/>
      </c>
      <c r="E85" s="94" t="str">
        <f t="shared" si="10"/>
        <v/>
      </c>
      <c r="F85" t="str">
        <f t="shared" si="12"/>
        <v/>
      </c>
      <c r="G85" s="94" t="str">
        <f t="shared" si="13"/>
        <v/>
      </c>
    </row>
    <row r="86" spans="1:7" x14ac:dyDescent="0.35">
      <c r="A86" t="str">
        <f t="shared" si="11"/>
        <v>-</v>
      </c>
      <c r="B86" s="94" t="str">
        <f t="shared" si="7"/>
        <v/>
      </c>
      <c r="C86" s="94" t="str">
        <f t="shared" si="8"/>
        <v/>
      </c>
      <c r="D86" s="94" t="str">
        <f t="shared" si="9"/>
        <v/>
      </c>
      <c r="E86" s="94" t="str">
        <f t="shared" si="10"/>
        <v/>
      </c>
      <c r="F86" t="str">
        <f t="shared" si="12"/>
        <v/>
      </c>
      <c r="G86" s="94" t="str">
        <f t="shared" si="13"/>
        <v/>
      </c>
    </row>
    <row r="87" spans="1:7" x14ac:dyDescent="0.35">
      <c r="A87" t="str">
        <f t="shared" si="11"/>
        <v>-</v>
      </c>
      <c r="B87" s="94" t="str">
        <f t="shared" si="7"/>
        <v/>
      </c>
      <c r="C87" s="94" t="str">
        <f t="shared" si="8"/>
        <v/>
      </c>
      <c r="D87" s="94" t="str">
        <f t="shared" si="9"/>
        <v/>
      </c>
      <c r="E87" s="94" t="str">
        <f t="shared" si="10"/>
        <v/>
      </c>
      <c r="F87" t="str">
        <f t="shared" si="12"/>
        <v/>
      </c>
      <c r="G87" s="94" t="str">
        <f t="shared" si="13"/>
        <v/>
      </c>
    </row>
    <row r="88" spans="1:7" x14ac:dyDescent="0.35">
      <c r="A88" t="str">
        <f t="shared" si="11"/>
        <v>-</v>
      </c>
      <c r="B88" s="94" t="str">
        <f t="shared" si="7"/>
        <v/>
      </c>
      <c r="C88" s="94" t="str">
        <f t="shared" si="8"/>
        <v/>
      </c>
      <c r="D88" s="94" t="str">
        <f t="shared" si="9"/>
        <v/>
      </c>
      <c r="E88" s="94" t="str">
        <f t="shared" si="10"/>
        <v/>
      </c>
      <c r="F88" t="str">
        <f t="shared" si="12"/>
        <v/>
      </c>
      <c r="G88" s="94" t="str">
        <f t="shared" si="13"/>
        <v/>
      </c>
    </row>
    <row r="89" spans="1:7" x14ac:dyDescent="0.35">
      <c r="A89" t="str">
        <f t="shared" si="11"/>
        <v>-</v>
      </c>
      <c r="B89" s="94" t="str">
        <f t="shared" si="7"/>
        <v/>
      </c>
      <c r="C89" s="94" t="str">
        <f t="shared" si="8"/>
        <v/>
      </c>
      <c r="D89" s="94" t="str">
        <f t="shared" si="9"/>
        <v/>
      </c>
      <c r="E89" s="94" t="str">
        <f t="shared" si="10"/>
        <v/>
      </c>
      <c r="F89" t="str">
        <f t="shared" si="12"/>
        <v/>
      </c>
      <c r="G89" s="94" t="str">
        <f t="shared" si="13"/>
        <v/>
      </c>
    </row>
    <row r="90" spans="1:7" x14ac:dyDescent="0.35">
      <c r="A90" t="str">
        <f t="shared" si="11"/>
        <v>-</v>
      </c>
      <c r="B90" s="94" t="str">
        <f t="shared" si="7"/>
        <v/>
      </c>
      <c r="C90" s="94" t="str">
        <f t="shared" si="8"/>
        <v/>
      </c>
      <c r="D90" s="94" t="str">
        <f t="shared" si="9"/>
        <v/>
      </c>
      <c r="E90" s="94" t="str">
        <f t="shared" si="10"/>
        <v/>
      </c>
      <c r="F90" t="str">
        <f t="shared" si="12"/>
        <v/>
      </c>
      <c r="G90" s="94" t="str">
        <f t="shared" si="13"/>
        <v/>
      </c>
    </row>
    <row r="91" spans="1:7" x14ac:dyDescent="0.35">
      <c r="A91" t="str">
        <f t="shared" si="11"/>
        <v>-</v>
      </c>
      <c r="B91" s="94" t="str">
        <f t="shared" si="7"/>
        <v/>
      </c>
      <c r="C91" s="94" t="str">
        <f t="shared" si="8"/>
        <v/>
      </c>
      <c r="D91" s="94" t="str">
        <f t="shared" si="9"/>
        <v/>
      </c>
      <c r="E91" s="94" t="str">
        <f t="shared" si="10"/>
        <v/>
      </c>
      <c r="F91" t="str">
        <f t="shared" si="12"/>
        <v/>
      </c>
      <c r="G91" s="94" t="str">
        <f t="shared" si="13"/>
        <v/>
      </c>
    </row>
    <row r="92" spans="1:7" x14ac:dyDescent="0.35">
      <c r="A92" t="str">
        <f t="shared" si="11"/>
        <v>-</v>
      </c>
      <c r="B92" s="94" t="str">
        <f t="shared" si="7"/>
        <v/>
      </c>
      <c r="C92" s="94" t="str">
        <f t="shared" si="8"/>
        <v/>
      </c>
      <c r="D92" s="94" t="str">
        <f t="shared" si="9"/>
        <v/>
      </c>
      <c r="E92" s="94" t="str">
        <f t="shared" si="10"/>
        <v/>
      </c>
      <c r="F92" t="str">
        <f t="shared" si="12"/>
        <v/>
      </c>
      <c r="G92" s="94" t="str">
        <f t="shared" si="13"/>
        <v/>
      </c>
    </row>
    <row r="93" spans="1:7" x14ac:dyDescent="0.35">
      <c r="A93" t="str">
        <f t="shared" si="11"/>
        <v>-</v>
      </c>
      <c r="B93" s="94" t="str">
        <f t="shared" si="7"/>
        <v/>
      </c>
      <c r="C93" s="94" t="str">
        <f t="shared" si="8"/>
        <v/>
      </c>
      <c r="D93" s="94" t="str">
        <f t="shared" si="9"/>
        <v/>
      </c>
      <c r="E93" s="94" t="str">
        <f t="shared" si="10"/>
        <v/>
      </c>
      <c r="F93" t="str">
        <f t="shared" si="12"/>
        <v/>
      </c>
      <c r="G93" s="94" t="str">
        <f t="shared" si="13"/>
        <v/>
      </c>
    </row>
    <row r="94" spans="1:7" x14ac:dyDescent="0.35">
      <c r="A94" t="str">
        <f t="shared" si="11"/>
        <v>-</v>
      </c>
      <c r="B94" s="94" t="str">
        <f t="shared" si="7"/>
        <v/>
      </c>
      <c r="C94" s="94" t="str">
        <f t="shared" si="8"/>
        <v/>
      </c>
      <c r="D94" s="94" t="str">
        <f t="shared" si="9"/>
        <v/>
      </c>
      <c r="E94" s="94" t="str">
        <f t="shared" si="10"/>
        <v/>
      </c>
      <c r="F94" t="str">
        <f t="shared" si="12"/>
        <v/>
      </c>
      <c r="G94" s="94" t="str">
        <f t="shared" si="13"/>
        <v/>
      </c>
    </row>
    <row r="95" spans="1:7" x14ac:dyDescent="0.35">
      <c r="A95" t="str">
        <f t="shared" si="11"/>
        <v>-</v>
      </c>
      <c r="B95" s="94" t="str">
        <f t="shared" si="7"/>
        <v/>
      </c>
      <c r="C95" s="94" t="str">
        <f t="shared" si="8"/>
        <v/>
      </c>
      <c r="D95" s="94" t="str">
        <f t="shared" si="9"/>
        <v/>
      </c>
      <c r="E95" s="94" t="str">
        <f t="shared" si="10"/>
        <v/>
      </c>
      <c r="F95" t="str">
        <f t="shared" si="12"/>
        <v/>
      </c>
      <c r="G95" s="94" t="str">
        <f t="shared" si="13"/>
        <v/>
      </c>
    </row>
    <row r="96" spans="1:7" x14ac:dyDescent="0.35">
      <c r="A96" t="str">
        <f t="shared" si="11"/>
        <v>-</v>
      </c>
      <c r="B96" s="94" t="str">
        <f t="shared" si="7"/>
        <v/>
      </c>
      <c r="C96" s="94" t="str">
        <f t="shared" si="8"/>
        <v/>
      </c>
      <c r="D96" s="94" t="str">
        <f t="shared" si="9"/>
        <v/>
      </c>
      <c r="E96" s="94" t="str">
        <f t="shared" si="10"/>
        <v/>
      </c>
      <c r="F96" t="str">
        <f t="shared" si="12"/>
        <v/>
      </c>
      <c r="G96" s="94" t="str">
        <f t="shared" si="13"/>
        <v/>
      </c>
    </row>
    <row r="97" spans="1:7" x14ac:dyDescent="0.35">
      <c r="A97" t="str">
        <f t="shared" si="11"/>
        <v>-</v>
      </c>
      <c r="B97" s="94" t="str">
        <f t="shared" si="7"/>
        <v/>
      </c>
      <c r="C97" s="94" t="str">
        <f t="shared" si="8"/>
        <v/>
      </c>
      <c r="D97" s="94" t="str">
        <f t="shared" si="9"/>
        <v/>
      </c>
      <c r="E97" s="94" t="str">
        <f t="shared" si="10"/>
        <v/>
      </c>
      <c r="F97" t="str">
        <f t="shared" si="12"/>
        <v/>
      </c>
      <c r="G97" s="94" t="str">
        <f t="shared" si="13"/>
        <v/>
      </c>
    </row>
    <row r="98" spans="1:7" x14ac:dyDescent="0.35">
      <c r="A98" t="str">
        <f t="shared" si="11"/>
        <v>-</v>
      </c>
      <c r="B98" s="94" t="str">
        <f t="shared" si="7"/>
        <v/>
      </c>
      <c r="C98" s="94" t="str">
        <f t="shared" si="8"/>
        <v/>
      </c>
      <c r="D98" s="94" t="str">
        <f t="shared" si="9"/>
        <v/>
      </c>
      <c r="E98" s="94" t="str">
        <f t="shared" si="10"/>
        <v/>
      </c>
      <c r="F98" t="str">
        <f t="shared" si="12"/>
        <v/>
      </c>
      <c r="G98" s="94" t="str">
        <f t="shared" si="13"/>
        <v/>
      </c>
    </row>
    <row r="99" spans="1:7" x14ac:dyDescent="0.35">
      <c r="A99" t="str">
        <f t="shared" si="11"/>
        <v>-</v>
      </c>
      <c r="B99" s="94" t="str">
        <f t="shared" si="7"/>
        <v/>
      </c>
      <c r="C99" s="94" t="str">
        <f t="shared" si="8"/>
        <v/>
      </c>
      <c r="D99" s="94" t="str">
        <f t="shared" si="9"/>
        <v/>
      </c>
      <c r="E99" s="94" t="str">
        <f t="shared" si="10"/>
        <v/>
      </c>
      <c r="F99" t="str">
        <f t="shared" si="12"/>
        <v/>
      </c>
      <c r="G99" s="94" t="str">
        <f t="shared" si="13"/>
        <v/>
      </c>
    </row>
    <row r="100" spans="1:7" x14ac:dyDescent="0.35">
      <c r="A100" t="str">
        <f t="shared" si="11"/>
        <v>-</v>
      </c>
      <c r="B100" s="94" t="str">
        <f t="shared" si="7"/>
        <v/>
      </c>
      <c r="C100" s="94" t="str">
        <f t="shared" si="8"/>
        <v/>
      </c>
      <c r="D100" s="94" t="str">
        <f t="shared" si="9"/>
        <v/>
      </c>
      <c r="E100" s="94" t="str">
        <f t="shared" si="10"/>
        <v/>
      </c>
      <c r="F100" t="str">
        <f t="shared" si="12"/>
        <v/>
      </c>
      <c r="G100" s="94" t="str">
        <f t="shared" si="13"/>
        <v/>
      </c>
    </row>
    <row r="101" spans="1:7" x14ac:dyDescent="0.35">
      <c r="A101" t="str">
        <f t="shared" si="11"/>
        <v>-</v>
      </c>
      <c r="B101" s="94" t="str">
        <f t="shared" si="7"/>
        <v/>
      </c>
      <c r="C101" s="94" t="str">
        <f t="shared" si="8"/>
        <v/>
      </c>
      <c r="D101" s="94" t="str">
        <f t="shared" si="9"/>
        <v/>
      </c>
      <c r="E101" s="94" t="str">
        <f t="shared" si="10"/>
        <v/>
      </c>
      <c r="F101" t="str">
        <f t="shared" si="12"/>
        <v/>
      </c>
      <c r="G101" s="94" t="str">
        <f t="shared" si="13"/>
        <v/>
      </c>
    </row>
    <row r="102" spans="1:7" x14ac:dyDescent="0.35">
      <c r="A102" t="str">
        <f t="shared" si="11"/>
        <v>-</v>
      </c>
      <c r="B102" s="94" t="str">
        <f t="shared" si="7"/>
        <v/>
      </c>
      <c r="C102" s="94" t="str">
        <f t="shared" si="8"/>
        <v/>
      </c>
      <c r="D102" s="94" t="str">
        <f t="shared" si="9"/>
        <v/>
      </c>
      <c r="E102" s="94" t="str">
        <f t="shared" si="10"/>
        <v/>
      </c>
      <c r="F102" t="str">
        <f t="shared" si="12"/>
        <v/>
      </c>
      <c r="G102" s="94" t="str">
        <f t="shared" si="13"/>
        <v/>
      </c>
    </row>
    <row r="103" spans="1:7" x14ac:dyDescent="0.35">
      <c r="A103" t="str">
        <f t="shared" si="11"/>
        <v>-</v>
      </c>
      <c r="B103" s="94" t="str">
        <f t="shared" si="7"/>
        <v/>
      </c>
      <c r="C103" s="94" t="str">
        <f t="shared" si="8"/>
        <v/>
      </c>
      <c r="D103" s="94" t="str">
        <f t="shared" si="9"/>
        <v/>
      </c>
      <c r="E103" s="94" t="str">
        <f t="shared" si="10"/>
        <v/>
      </c>
      <c r="F103" t="str">
        <f t="shared" si="12"/>
        <v/>
      </c>
      <c r="G103" s="94" t="str">
        <f t="shared" si="13"/>
        <v/>
      </c>
    </row>
    <row r="104" spans="1:7" x14ac:dyDescent="0.35">
      <c r="A104" t="str">
        <f t="shared" si="11"/>
        <v>-</v>
      </c>
      <c r="B104" s="94" t="str">
        <f t="shared" si="7"/>
        <v/>
      </c>
      <c r="C104" s="94" t="str">
        <f t="shared" si="8"/>
        <v/>
      </c>
      <c r="D104" s="94" t="str">
        <f t="shared" si="9"/>
        <v/>
      </c>
      <c r="E104" s="94" t="str">
        <f t="shared" si="10"/>
        <v/>
      </c>
      <c r="F104" t="str">
        <f t="shared" si="12"/>
        <v/>
      </c>
      <c r="G104" s="94" t="str">
        <f t="shared" si="13"/>
        <v/>
      </c>
    </row>
    <row r="105" spans="1:7" x14ac:dyDescent="0.35">
      <c r="A105" t="str">
        <f t="shared" si="11"/>
        <v>-</v>
      </c>
      <c r="B105" s="94" t="str">
        <f t="shared" si="7"/>
        <v/>
      </c>
      <c r="C105" s="94" t="str">
        <f t="shared" si="8"/>
        <v/>
      </c>
      <c r="D105" s="94" t="str">
        <f t="shared" si="9"/>
        <v/>
      </c>
      <c r="E105" s="94" t="str">
        <f t="shared" si="10"/>
        <v/>
      </c>
      <c r="F105" t="str">
        <f t="shared" si="12"/>
        <v/>
      </c>
      <c r="G105" s="94" t="str">
        <f t="shared" si="13"/>
        <v/>
      </c>
    </row>
    <row r="106" spans="1:7" x14ac:dyDescent="0.35">
      <c r="A106" t="str">
        <f t="shared" si="11"/>
        <v>-</v>
      </c>
      <c r="B106" s="94" t="str">
        <f t="shared" si="7"/>
        <v/>
      </c>
      <c r="C106" s="94" t="str">
        <f t="shared" si="8"/>
        <v/>
      </c>
      <c r="D106" s="94" t="str">
        <f t="shared" si="9"/>
        <v/>
      </c>
      <c r="E106" s="94" t="str">
        <f t="shared" si="10"/>
        <v/>
      </c>
      <c r="F106" t="str">
        <f t="shared" si="12"/>
        <v/>
      </c>
      <c r="G106" s="94" t="str">
        <f t="shared" si="13"/>
        <v/>
      </c>
    </row>
    <row r="107" spans="1:7" x14ac:dyDescent="0.35">
      <c r="A107" t="str">
        <f t="shared" si="11"/>
        <v>-</v>
      </c>
      <c r="B107" s="94" t="str">
        <f t="shared" si="7"/>
        <v/>
      </c>
      <c r="C107" s="94" t="str">
        <f t="shared" si="8"/>
        <v/>
      </c>
      <c r="D107" s="94" t="str">
        <f t="shared" si="9"/>
        <v/>
      </c>
      <c r="E107" s="94" t="str">
        <f t="shared" si="10"/>
        <v/>
      </c>
      <c r="F107" t="str">
        <f t="shared" si="12"/>
        <v/>
      </c>
      <c r="G107" s="94" t="str">
        <f t="shared" si="13"/>
        <v/>
      </c>
    </row>
    <row r="108" spans="1:7" x14ac:dyDescent="0.35">
      <c r="A108" t="str">
        <f t="shared" si="11"/>
        <v>-</v>
      </c>
      <c r="B108" s="94" t="str">
        <f t="shared" si="7"/>
        <v/>
      </c>
      <c r="C108" s="94" t="str">
        <f t="shared" si="8"/>
        <v/>
      </c>
      <c r="D108" s="94" t="str">
        <f t="shared" si="9"/>
        <v/>
      </c>
      <c r="E108" s="94" t="str">
        <f t="shared" si="10"/>
        <v/>
      </c>
      <c r="F108" t="str">
        <f t="shared" si="12"/>
        <v/>
      </c>
      <c r="G108" s="94" t="str">
        <f t="shared" si="13"/>
        <v/>
      </c>
    </row>
    <row r="109" spans="1:7" x14ac:dyDescent="0.35">
      <c r="A109" t="str">
        <f t="shared" si="11"/>
        <v>-</v>
      </c>
      <c r="B109" s="94" t="str">
        <f t="shared" si="7"/>
        <v/>
      </c>
      <c r="C109" s="94" t="str">
        <f t="shared" si="8"/>
        <v/>
      </c>
      <c r="D109" s="94" t="str">
        <f t="shared" si="9"/>
        <v/>
      </c>
      <c r="E109" s="94" t="str">
        <f t="shared" si="10"/>
        <v/>
      </c>
      <c r="F109" t="str">
        <f t="shared" si="12"/>
        <v/>
      </c>
      <c r="G109" s="94" t="str">
        <f t="shared" si="13"/>
        <v/>
      </c>
    </row>
    <row r="110" spans="1:7" x14ac:dyDescent="0.35">
      <c r="A110" t="str">
        <f t="shared" si="11"/>
        <v>-</v>
      </c>
      <c r="B110" s="94" t="str">
        <f t="shared" si="7"/>
        <v/>
      </c>
      <c r="C110" s="94" t="str">
        <f t="shared" si="8"/>
        <v/>
      </c>
      <c r="D110" s="94" t="str">
        <f t="shared" si="9"/>
        <v/>
      </c>
      <c r="E110" s="94" t="str">
        <f t="shared" si="10"/>
        <v/>
      </c>
      <c r="F110" t="str">
        <f t="shared" si="12"/>
        <v/>
      </c>
      <c r="G110" s="94" t="str">
        <f t="shared" si="13"/>
        <v/>
      </c>
    </row>
    <row r="111" spans="1:7" x14ac:dyDescent="0.35">
      <c r="A111" t="str">
        <f t="shared" si="11"/>
        <v>-</v>
      </c>
      <c r="B111" s="94" t="str">
        <f t="shared" si="7"/>
        <v/>
      </c>
      <c r="C111" s="94" t="str">
        <f t="shared" si="8"/>
        <v/>
      </c>
      <c r="D111" s="94" t="str">
        <f t="shared" si="9"/>
        <v/>
      </c>
      <c r="E111" s="94" t="str">
        <f t="shared" si="10"/>
        <v/>
      </c>
      <c r="F111" t="str">
        <f t="shared" si="12"/>
        <v/>
      </c>
      <c r="G111" s="94" t="str">
        <f t="shared" si="13"/>
        <v/>
      </c>
    </row>
    <row r="112" spans="1:7" x14ac:dyDescent="0.35">
      <c r="A112" t="str">
        <f t="shared" si="11"/>
        <v>-</v>
      </c>
      <c r="B112" s="94" t="str">
        <f t="shared" si="7"/>
        <v/>
      </c>
      <c r="C112" s="94" t="str">
        <f t="shared" si="8"/>
        <v/>
      </c>
      <c r="D112" s="94" t="str">
        <f t="shared" si="9"/>
        <v/>
      </c>
      <c r="E112" s="94" t="str">
        <f t="shared" si="10"/>
        <v/>
      </c>
      <c r="F112" t="str">
        <f t="shared" si="12"/>
        <v/>
      </c>
      <c r="G112" s="94" t="str">
        <f t="shared" si="13"/>
        <v/>
      </c>
    </row>
    <row r="113" spans="1:7" x14ac:dyDescent="0.35">
      <c r="A113" t="str">
        <f t="shared" si="11"/>
        <v>-</v>
      </c>
      <c r="B113" s="94" t="str">
        <f t="shared" si="7"/>
        <v/>
      </c>
      <c r="C113" s="94" t="str">
        <f t="shared" si="8"/>
        <v/>
      </c>
      <c r="D113" s="94" t="str">
        <f t="shared" si="9"/>
        <v/>
      </c>
      <c r="E113" s="94" t="str">
        <f t="shared" si="10"/>
        <v/>
      </c>
      <c r="F113" t="str">
        <f t="shared" si="12"/>
        <v/>
      </c>
      <c r="G113" s="94" t="str">
        <f t="shared" si="13"/>
        <v/>
      </c>
    </row>
    <row r="114" spans="1:7" x14ac:dyDescent="0.35">
      <c r="A114" t="str">
        <f t="shared" si="11"/>
        <v>-</v>
      </c>
      <c r="B114" s="94" t="str">
        <f t="shared" si="7"/>
        <v/>
      </c>
      <c r="C114" s="94" t="str">
        <f t="shared" si="8"/>
        <v/>
      </c>
      <c r="D114" s="94" t="str">
        <f t="shared" si="9"/>
        <v/>
      </c>
      <c r="E114" s="94" t="str">
        <f t="shared" si="10"/>
        <v/>
      </c>
      <c r="F114" t="str">
        <f t="shared" si="12"/>
        <v/>
      </c>
      <c r="G114" s="94" t="str">
        <f t="shared" si="13"/>
        <v/>
      </c>
    </row>
    <row r="115" spans="1:7" x14ac:dyDescent="0.35">
      <c r="A115" t="str">
        <f t="shared" si="11"/>
        <v>-</v>
      </c>
      <c r="B115" s="94" t="str">
        <f t="shared" si="7"/>
        <v/>
      </c>
      <c r="C115" s="94" t="str">
        <f t="shared" si="8"/>
        <v/>
      </c>
      <c r="D115" s="94" t="str">
        <f t="shared" si="9"/>
        <v/>
      </c>
      <c r="E115" s="94" t="str">
        <f t="shared" si="10"/>
        <v/>
      </c>
      <c r="F115" t="str">
        <f t="shared" si="12"/>
        <v/>
      </c>
      <c r="G115" s="94" t="str">
        <f t="shared" si="13"/>
        <v/>
      </c>
    </row>
    <row r="116" spans="1:7" x14ac:dyDescent="0.35">
      <c r="A116" t="str">
        <f t="shared" si="11"/>
        <v>-</v>
      </c>
      <c r="B116" s="94" t="str">
        <f t="shared" si="7"/>
        <v/>
      </c>
      <c r="C116" s="94" t="str">
        <f t="shared" si="8"/>
        <v/>
      </c>
      <c r="D116" s="94" t="str">
        <f t="shared" si="9"/>
        <v/>
      </c>
      <c r="E116" s="94" t="str">
        <f t="shared" si="10"/>
        <v/>
      </c>
      <c r="F116" t="str">
        <f t="shared" si="12"/>
        <v/>
      </c>
      <c r="G116" s="94" t="str">
        <f t="shared" si="13"/>
        <v/>
      </c>
    </row>
    <row r="117" spans="1:7" x14ac:dyDescent="0.35">
      <c r="A117" t="str">
        <f t="shared" si="11"/>
        <v>-</v>
      </c>
      <c r="B117" s="94" t="str">
        <f t="shared" si="7"/>
        <v/>
      </c>
      <c r="C117" s="94" t="str">
        <f t="shared" si="8"/>
        <v/>
      </c>
      <c r="D117" s="94" t="str">
        <f t="shared" si="9"/>
        <v/>
      </c>
      <c r="E117" s="94" t="str">
        <f t="shared" si="10"/>
        <v/>
      </c>
      <c r="F117" t="str">
        <f t="shared" si="12"/>
        <v/>
      </c>
      <c r="G117" s="94" t="str">
        <f t="shared" si="13"/>
        <v/>
      </c>
    </row>
    <row r="118" spans="1:7" x14ac:dyDescent="0.35">
      <c r="A118" t="str">
        <f t="shared" si="11"/>
        <v>-</v>
      </c>
      <c r="B118" s="94" t="str">
        <f t="shared" si="7"/>
        <v/>
      </c>
      <c r="C118" s="94" t="str">
        <f t="shared" si="8"/>
        <v/>
      </c>
      <c r="D118" s="94" t="str">
        <f t="shared" si="9"/>
        <v/>
      </c>
      <c r="E118" s="94" t="str">
        <f t="shared" si="10"/>
        <v/>
      </c>
      <c r="F118" t="str">
        <f t="shared" si="12"/>
        <v/>
      </c>
      <c r="G118" s="94" t="str">
        <f t="shared" si="13"/>
        <v/>
      </c>
    </row>
    <row r="119" spans="1:7" x14ac:dyDescent="0.35">
      <c r="A119" t="str">
        <f t="shared" si="11"/>
        <v>-</v>
      </c>
      <c r="B119" s="94" t="str">
        <f t="shared" si="7"/>
        <v/>
      </c>
      <c r="C119" s="94" t="str">
        <f t="shared" si="8"/>
        <v/>
      </c>
      <c r="D119" s="94" t="str">
        <f t="shared" si="9"/>
        <v/>
      </c>
      <c r="E119" s="94" t="str">
        <f t="shared" si="10"/>
        <v/>
      </c>
      <c r="F119" t="str">
        <f t="shared" si="12"/>
        <v/>
      </c>
      <c r="G119" s="94" t="str">
        <f t="shared" si="13"/>
        <v/>
      </c>
    </row>
    <row r="120" spans="1:7" x14ac:dyDescent="0.35">
      <c r="A120" t="str">
        <f t="shared" si="11"/>
        <v>-</v>
      </c>
      <c r="B120" s="94" t="str">
        <f t="shared" si="7"/>
        <v/>
      </c>
      <c r="C120" s="94" t="str">
        <f t="shared" si="8"/>
        <v/>
      </c>
      <c r="D120" s="94" t="str">
        <f t="shared" si="9"/>
        <v/>
      </c>
      <c r="E120" s="94" t="str">
        <f t="shared" si="10"/>
        <v/>
      </c>
      <c r="F120" t="str">
        <f t="shared" si="12"/>
        <v/>
      </c>
      <c r="G120" s="94" t="str">
        <f t="shared" si="13"/>
        <v/>
      </c>
    </row>
    <row r="121" spans="1:7" x14ac:dyDescent="0.35">
      <c r="A121" t="str">
        <f t="shared" si="11"/>
        <v>-</v>
      </c>
      <c r="B121" s="94" t="str">
        <f t="shared" si="7"/>
        <v/>
      </c>
      <c r="C121" s="94" t="str">
        <f t="shared" si="8"/>
        <v/>
      </c>
      <c r="D121" s="94" t="str">
        <f t="shared" si="9"/>
        <v/>
      </c>
      <c r="E121" s="94" t="str">
        <f t="shared" si="10"/>
        <v/>
      </c>
      <c r="F121" t="str">
        <f t="shared" si="12"/>
        <v/>
      </c>
      <c r="G121" s="94" t="str">
        <f t="shared" si="13"/>
        <v/>
      </c>
    </row>
    <row r="122" spans="1:7" x14ac:dyDescent="0.35">
      <c r="A122" t="str">
        <f t="shared" si="11"/>
        <v>-</v>
      </c>
      <c r="B122" s="94" t="str">
        <f t="shared" si="7"/>
        <v/>
      </c>
      <c r="C122" s="94" t="str">
        <f t="shared" si="8"/>
        <v/>
      </c>
      <c r="D122" s="94" t="str">
        <f t="shared" si="9"/>
        <v/>
      </c>
      <c r="E122" s="94" t="str">
        <f t="shared" si="10"/>
        <v/>
      </c>
      <c r="F122" t="str">
        <f t="shared" si="12"/>
        <v/>
      </c>
      <c r="G122" s="94" t="str">
        <f t="shared" si="13"/>
        <v/>
      </c>
    </row>
    <row r="123" spans="1:7" x14ac:dyDescent="0.35">
      <c r="A123" t="str">
        <f t="shared" si="11"/>
        <v>-</v>
      </c>
      <c r="B123" s="94" t="str">
        <f t="shared" si="7"/>
        <v/>
      </c>
      <c r="C123" s="94" t="str">
        <f t="shared" si="8"/>
        <v/>
      </c>
      <c r="D123" s="94" t="str">
        <f t="shared" si="9"/>
        <v/>
      </c>
      <c r="E123" s="94" t="str">
        <f t="shared" si="10"/>
        <v/>
      </c>
      <c r="F123" t="str">
        <f t="shared" si="12"/>
        <v/>
      </c>
      <c r="G123" s="94" t="str">
        <f t="shared" si="13"/>
        <v/>
      </c>
    </row>
    <row r="124" spans="1:7" x14ac:dyDescent="0.35">
      <c r="A124" t="str">
        <f t="shared" si="11"/>
        <v>-</v>
      </c>
      <c r="B124" s="94" t="str">
        <f t="shared" si="7"/>
        <v/>
      </c>
      <c r="C124" s="94" t="str">
        <f t="shared" si="8"/>
        <v/>
      </c>
      <c r="D124" s="94" t="str">
        <f t="shared" si="9"/>
        <v/>
      </c>
      <c r="E124" s="94" t="str">
        <f t="shared" si="10"/>
        <v/>
      </c>
      <c r="F124" t="str">
        <f t="shared" si="12"/>
        <v/>
      </c>
      <c r="G124" s="94" t="str">
        <f t="shared" si="13"/>
        <v/>
      </c>
    </row>
    <row r="125" spans="1:7" x14ac:dyDescent="0.35">
      <c r="A125" t="str">
        <f t="shared" si="11"/>
        <v>-</v>
      </c>
      <c r="B125" s="94" t="str">
        <f t="shared" si="7"/>
        <v/>
      </c>
      <c r="C125" s="94" t="str">
        <f t="shared" si="8"/>
        <v/>
      </c>
      <c r="D125" s="94" t="str">
        <f t="shared" si="9"/>
        <v/>
      </c>
      <c r="E125" s="94" t="str">
        <f t="shared" si="10"/>
        <v/>
      </c>
      <c r="F125" t="str">
        <f t="shared" si="12"/>
        <v/>
      </c>
      <c r="G125" s="94" t="str">
        <f t="shared" si="13"/>
        <v/>
      </c>
    </row>
    <row r="126" spans="1:7" x14ac:dyDescent="0.35">
      <c r="A126" t="str">
        <f t="shared" si="11"/>
        <v>-</v>
      </c>
      <c r="B126" s="94" t="str">
        <f t="shared" si="7"/>
        <v/>
      </c>
      <c r="C126" s="94" t="str">
        <f t="shared" si="8"/>
        <v/>
      </c>
      <c r="D126" s="94" t="str">
        <f t="shared" si="9"/>
        <v/>
      </c>
      <c r="E126" s="94" t="str">
        <f t="shared" si="10"/>
        <v/>
      </c>
      <c r="F126" t="str">
        <f t="shared" si="12"/>
        <v/>
      </c>
      <c r="G126" s="94" t="str">
        <f t="shared" si="13"/>
        <v/>
      </c>
    </row>
    <row r="127" spans="1:7" x14ac:dyDescent="0.35">
      <c r="A127" t="str">
        <f t="shared" si="11"/>
        <v>-</v>
      </c>
      <c r="B127" s="94" t="str">
        <f t="shared" si="7"/>
        <v/>
      </c>
      <c r="C127" s="94" t="str">
        <f t="shared" si="8"/>
        <v/>
      </c>
      <c r="D127" s="94" t="str">
        <f t="shared" si="9"/>
        <v/>
      </c>
      <c r="E127" s="94" t="str">
        <f t="shared" si="10"/>
        <v/>
      </c>
      <c r="F127" t="str">
        <f t="shared" si="12"/>
        <v/>
      </c>
      <c r="G127" s="94" t="str">
        <f t="shared" si="13"/>
        <v/>
      </c>
    </row>
    <row r="128" spans="1:7" x14ac:dyDescent="0.35">
      <c r="A128" t="str">
        <f t="shared" si="11"/>
        <v>-</v>
      </c>
      <c r="B128" s="94" t="str">
        <f t="shared" si="7"/>
        <v/>
      </c>
      <c r="C128" s="94" t="str">
        <f t="shared" si="8"/>
        <v/>
      </c>
      <c r="D128" s="94" t="str">
        <f t="shared" si="9"/>
        <v/>
      </c>
      <c r="E128" s="94" t="str">
        <f t="shared" si="10"/>
        <v/>
      </c>
      <c r="F128" t="str">
        <f t="shared" si="12"/>
        <v/>
      </c>
      <c r="G128" s="94" t="str">
        <f t="shared" si="13"/>
        <v/>
      </c>
    </row>
    <row r="129" spans="1:7" x14ac:dyDescent="0.35">
      <c r="A129" t="str">
        <f t="shared" si="11"/>
        <v>-</v>
      </c>
      <c r="B129" s="94" t="str">
        <f t="shared" si="7"/>
        <v/>
      </c>
      <c r="C129" s="94" t="str">
        <f t="shared" si="8"/>
        <v/>
      </c>
      <c r="D129" s="94" t="str">
        <f t="shared" si="9"/>
        <v/>
      </c>
      <c r="E129" s="94" t="str">
        <f t="shared" si="10"/>
        <v/>
      </c>
      <c r="F129" t="str">
        <f t="shared" si="12"/>
        <v/>
      </c>
      <c r="G129" s="94" t="str">
        <f t="shared" si="13"/>
        <v/>
      </c>
    </row>
    <row r="130" spans="1:7" x14ac:dyDescent="0.35">
      <c r="A130" t="str">
        <f t="shared" si="11"/>
        <v>-</v>
      </c>
      <c r="B130" s="94" t="str">
        <f t="shared" si="7"/>
        <v/>
      </c>
      <c r="C130" s="94" t="str">
        <f t="shared" si="8"/>
        <v/>
      </c>
      <c r="D130" s="94" t="str">
        <f t="shared" si="9"/>
        <v/>
      </c>
      <c r="E130" s="94" t="str">
        <f t="shared" si="10"/>
        <v/>
      </c>
      <c r="F130" t="str">
        <f t="shared" si="12"/>
        <v/>
      </c>
      <c r="G130" s="94" t="str">
        <f t="shared" si="13"/>
        <v/>
      </c>
    </row>
    <row r="131" spans="1:7" x14ac:dyDescent="0.35">
      <c r="A131" t="str">
        <f t="shared" si="11"/>
        <v>-</v>
      </c>
      <c r="B131" s="94" t="str">
        <f t="shared" si="7"/>
        <v/>
      </c>
      <c r="C131" s="94" t="str">
        <f t="shared" si="8"/>
        <v/>
      </c>
      <c r="D131" s="94" t="str">
        <f t="shared" si="9"/>
        <v/>
      </c>
      <c r="E131" s="94" t="str">
        <f t="shared" si="10"/>
        <v/>
      </c>
      <c r="F131" t="str">
        <f t="shared" si="12"/>
        <v/>
      </c>
      <c r="G131" s="94" t="str">
        <f t="shared" si="13"/>
        <v/>
      </c>
    </row>
    <row r="132" spans="1:7" x14ac:dyDescent="0.35">
      <c r="A132" t="str">
        <f t="shared" si="11"/>
        <v>-</v>
      </c>
      <c r="B132" s="94" t="str">
        <f t="shared" si="7"/>
        <v/>
      </c>
      <c r="C132" s="94" t="str">
        <f t="shared" si="8"/>
        <v/>
      </c>
      <c r="D132" s="94" t="str">
        <f t="shared" si="9"/>
        <v/>
      </c>
      <c r="E132" s="94" t="str">
        <f t="shared" si="10"/>
        <v/>
      </c>
      <c r="F132" t="str">
        <f t="shared" si="12"/>
        <v/>
      </c>
      <c r="G132" s="94" t="str">
        <f t="shared" si="13"/>
        <v/>
      </c>
    </row>
    <row r="133" spans="1:7" x14ac:dyDescent="0.35">
      <c r="A133" t="str">
        <f t="shared" si="11"/>
        <v>-</v>
      </c>
      <c r="B133" s="94" t="str">
        <f t="shared" si="7"/>
        <v/>
      </c>
      <c r="C133" s="94" t="str">
        <f t="shared" si="8"/>
        <v/>
      </c>
      <c r="D133" s="94" t="str">
        <f t="shared" si="9"/>
        <v/>
      </c>
      <c r="E133" s="94" t="str">
        <f t="shared" si="10"/>
        <v/>
      </c>
      <c r="F133" t="str">
        <f t="shared" si="12"/>
        <v/>
      </c>
      <c r="G133" s="94" t="str">
        <f t="shared" si="13"/>
        <v/>
      </c>
    </row>
  </sheetData>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39A00C-45E6-4A25-A4B6-7C2E8B1CD9F8}">
  <dimension ref="A1:AI55"/>
  <sheetViews>
    <sheetView topLeftCell="A13" workbookViewId="0">
      <selection activeCell="F12" sqref="F12"/>
    </sheetView>
  </sheetViews>
  <sheetFormatPr baseColWidth="10" defaultRowHeight="15.5" x14ac:dyDescent="0.35"/>
  <cols>
    <col min="1" max="1" width="8.6640625" style="259" customWidth="1"/>
    <col min="2" max="2" width="27.58203125" style="222" customWidth="1"/>
    <col min="3" max="3" width="7.9140625" style="222" customWidth="1"/>
    <col min="4" max="4" width="15" style="222" customWidth="1"/>
    <col min="5" max="5" width="20.08203125" style="222" customWidth="1"/>
    <col min="6" max="6" width="14.08203125" style="222" customWidth="1"/>
    <col min="7" max="7" width="17.58203125" style="222" bestFit="1" customWidth="1"/>
    <col min="8" max="8" width="16.08203125" style="259" customWidth="1"/>
    <col min="9" max="29" width="10.6640625" style="259"/>
    <col min="30" max="16384" width="10.6640625" style="222"/>
  </cols>
  <sheetData>
    <row r="1" spans="2:35" x14ac:dyDescent="0.35">
      <c r="B1" s="259"/>
      <c r="C1" s="259"/>
      <c r="D1" s="259"/>
      <c r="E1" s="259"/>
      <c r="F1" s="259"/>
      <c r="G1" s="259"/>
      <c r="AD1" s="259"/>
      <c r="AE1" s="259"/>
      <c r="AF1" s="259"/>
      <c r="AG1" s="259"/>
      <c r="AH1" s="259"/>
      <c r="AI1" s="259"/>
    </row>
    <row r="2" spans="2:35" x14ac:dyDescent="0.35">
      <c r="B2" s="259"/>
      <c r="C2" s="259"/>
      <c r="D2" s="259"/>
      <c r="E2" s="259"/>
      <c r="F2" s="259"/>
      <c r="G2" s="259"/>
      <c r="AD2" s="259"/>
      <c r="AE2" s="259"/>
      <c r="AF2" s="259"/>
      <c r="AG2" s="259"/>
      <c r="AH2" s="259"/>
      <c r="AI2" s="259"/>
    </row>
    <row r="3" spans="2:35" ht="39" customHeight="1" thickBot="1" x14ac:dyDescent="0.4">
      <c r="B3" s="250" t="s">
        <v>173</v>
      </c>
      <c r="C3" s="253" t="s">
        <v>147</v>
      </c>
      <c r="D3" s="253" t="s">
        <v>174</v>
      </c>
      <c r="E3" s="254" t="s">
        <v>176</v>
      </c>
      <c r="F3" s="253" t="s">
        <v>175</v>
      </c>
      <c r="G3" s="253" t="s">
        <v>177</v>
      </c>
    </row>
    <row r="4" spans="2:35" ht="16" thickBot="1" x14ac:dyDescent="0.4">
      <c r="B4" s="251" t="s">
        <v>178</v>
      </c>
      <c r="C4" s="255">
        <v>1</v>
      </c>
      <c r="D4" s="255">
        <v>1967871</v>
      </c>
      <c r="E4" s="255">
        <f>C4*D4</f>
        <v>1967871</v>
      </c>
      <c r="F4" s="255">
        <v>10</v>
      </c>
      <c r="G4" s="255">
        <f>E4/F4</f>
        <v>196787.1</v>
      </c>
    </row>
    <row r="5" spans="2:35" ht="16" thickBot="1" x14ac:dyDescent="0.4">
      <c r="B5" s="251" t="s">
        <v>22</v>
      </c>
      <c r="C5" s="255">
        <v>1</v>
      </c>
      <c r="D5" s="255">
        <v>750000</v>
      </c>
      <c r="E5" s="255">
        <f t="shared" ref="E5:E22" si="0">C5*D5</f>
        <v>750000</v>
      </c>
      <c r="F5" s="255">
        <v>15</v>
      </c>
      <c r="G5" s="255">
        <f t="shared" ref="G5:G18" si="1">E5/F5</f>
        <v>50000</v>
      </c>
    </row>
    <row r="6" spans="2:35" ht="16" thickBot="1" x14ac:dyDescent="0.4">
      <c r="B6" s="251" t="s">
        <v>179</v>
      </c>
      <c r="C6" s="255">
        <v>1</v>
      </c>
      <c r="D6" s="255">
        <v>0</v>
      </c>
      <c r="E6" s="255">
        <f t="shared" si="0"/>
        <v>0</v>
      </c>
      <c r="F6" s="255">
        <v>10</v>
      </c>
      <c r="G6" s="255">
        <f t="shared" si="1"/>
        <v>0</v>
      </c>
    </row>
    <row r="7" spans="2:35" ht="16" thickBot="1" x14ac:dyDescent="0.4">
      <c r="B7" s="251" t="s">
        <v>180</v>
      </c>
      <c r="C7" s="255">
        <v>1</v>
      </c>
      <c r="D7" s="255">
        <v>3800000</v>
      </c>
      <c r="E7" s="255">
        <f t="shared" si="0"/>
        <v>3800000</v>
      </c>
      <c r="F7" s="255">
        <v>15</v>
      </c>
      <c r="G7" s="255">
        <f t="shared" si="1"/>
        <v>253333.33333333334</v>
      </c>
    </row>
    <row r="8" spans="2:35" ht="16" thickBot="1" x14ac:dyDescent="0.4">
      <c r="B8" s="251" t="s">
        <v>181</v>
      </c>
      <c r="C8" s="255">
        <v>18</v>
      </c>
      <c r="D8" s="255">
        <v>250000</v>
      </c>
      <c r="E8" s="255">
        <f>C8*D8</f>
        <v>4500000</v>
      </c>
      <c r="F8" s="255">
        <v>20</v>
      </c>
      <c r="G8" s="255">
        <f t="shared" si="1"/>
        <v>225000</v>
      </c>
    </row>
    <row r="9" spans="2:35" ht="16" thickBot="1" x14ac:dyDescent="0.4">
      <c r="B9" s="251" t="s">
        <v>182</v>
      </c>
      <c r="C9" s="255">
        <v>8</v>
      </c>
      <c r="D9" s="255">
        <v>400000</v>
      </c>
      <c r="E9" s="255">
        <f t="shared" si="0"/>
        <v>3200000</v>
      </c>
      <c r="F9" s="255">
        <v>6.0000000000000009</v>
      </c>
      <c r="G9" s="255">
        <f t="shared" si="1"/>
        <v>533333.33333333326</v>
      </c>
    </row>
    <row r="10" spans="2:35" ht="16" thickBot="1" x14ac:dyDescent="0.4">
      <c r="B10" s="251" t="s">
        <v>183</v>
      </c>
      <c r="C10" s="255">
        <v>1</v>
      </c>
      <c r="D10" s="255">
        <v>220000</v>
      </c>
      <c r="E10" s="255">
        <f t="shared" si="0"/>
        <v>220000</v>
      </c>
      <c r="F10" s="255">
        <v>10</v>
      </c>
      <c r="G10" s="255">
        <f t="shared" si="1"/>
        <v>22000</v>
      </c>
    </row>
    <row r="11" spans="2:35" ht="16" thickBot="1" x14ac:dyDescent="0.4">
      <c r="B11" s="252" t="s">
        <v>184</v>
      </c>
      <c r="C11" s="255">
        <v>1</v>
      </c>
      <c r="D11" s="255">
        <v>450000</v>
      </c>
      <c r="E11" s="255">
        <f>C11*D11</f>
        <v>450000</v>
      </c>
      <c r="F11" s="255">
        <v>10</v>
      </c>
      <c r="G11" s="255">
        <f>E11/F11</f>
        <v>45000</v>
      </c>
    </row>
    <row r="12" spans="2:35" ht="16" thickBot="1" x14ac:dyDescent="0.4">
      <c r="B12" s="251" t="s">
        <v>185</v>
      </c>
      <c r="C12" s="255">
        <v>18</v>
      </c>
      <c r="D12" s="255">
        <v>35000</v>
      </c>
      <c r="E12" s="255">
        <f t="shared" si="0"/>
        <v>630000</v>
      </c>
      <c r="F12" s="255">
        <v>20</v>
      </c>
      <c r="G12" s="255">
        <f t="shared" si="1"/>
        <v>31500</v>
      </c>
    </row>
    <row r="13" spans="2:35" ht="16" thickBot="1" x14ac:dyDescent="0.4">
      <c r="B13" s="251" t="s">
        <v>186</v>
      </c>
      <c r="C13" s="255">
        <v>1</v>
      </c>
      <c r="D13" s="255">
        <v>147000</v>
      </c>
      <c r="E13" s="255">
        <f t="shared" si="0"/>
        <v>147000</v>
      </c>
      <c r="F13" s="255">
        <v>15</v>
      </c>
      <c r="G13" s="255">
        <f t="shared" si="1"/>
        <v>9800</v>
      </c>
    </row>
    <row r="14" spans="2:35" ht="16" thickBot="1" x14ac:dyDescent="0.4">
      <c r="B14" s="251" t="s">
        <v>187</v>
      </c>
      <c r="C14" s="255">
        <v>1</v>
      </c>
      <c r="D14" s="255">
        <v>140000</v>
      </c>
      <c r="E14" s="255">
        <f t="shared" si="0"/>
        <v>140000</v>
      </c>
      <c r="F14" s="255">
        <v>15</v>
      </c>
      <c r="G14" s="255">
        <f t="shared" si="1"/>
        <v>9333.3333333333339</v>
      </c>
    </row>
    <row r="15" spans="2:35" ht="16" thickBot="1" x14ac:dyDescent="0.4">
      <c r="B15" s="251" t="s">
        <v>188</v>
      </c>
      <c r="C15" s="255">
        <v>1</v>
      </c>
      <c r="D15" s="255">
        <v>240000</v>
      </c>
      <c r="E15" s="255">
        <f t="shared" si="0"/>
        <v>240000</v>
      </c>
      <c r="F15" s="255">
        <v>20</v>
      </c>
      <c r="G15" s="255">
        <f t="shared" si="1"/>
        <v>12000</v>
      </c>
    </row>
    <row r="16" spans="2:35" ht="16" thickBot="1" x14ac:dyDescent="0.4">
      <c r="B16" s="251" t="s">
        <v>189</v>
      </c>
      <c r="C16" s="255">
        <v>0</v>
      </c>
      <c r="D16" s="255">
        <v>0</v>
      </c>
      <c r="E16" s="255">
        <f>C16*D16</f>
        <v>0</v>
      </c>
      <c r="F16" s="255">
        <v>15</v>
      </c>
      <c r="G16" s="255">
        <f t="shared" si="1"/>
        <v>0</v>
      </c>
    </row>
    <row r="17" spans="2:7" ht="16" thickBot="1" x14ac:dyDescent="0.4">
      <c r="B17" s="251" t="s">
        <v>190</v>
      </c>
      <c r="C17" s="255">
        <v>2</v>
      </c>
      <c r="D17" s="255">
        <v>0</v>
      </c>
      <c r="E17" s="255">
        <f t="shared" si="0"/>
        <v>0</v>
      </c>
      <c r="F17" s="255"/>
      <c r="G17" s="255"/>
    </row>
    <row r="18" spans="2:7" ht="16" thickBot="1" x14ac:dyDescent="0.4">
      <c r="B18" s="251" t="s">
        <v>191</v>
      </c>
      <c r="C18" s="255">
        <v>2</v>
      </c>
      <c r="D18" s="255">
        <v>100000</v>
      </c>
      <c r="E18" s="255">
        <f t="shared" si="0"/>
        <v>200000</v>
      </c>
      <c r="F18" s="255">
        <v>1</v>
      </c>
      <c r="G18" s="255">
        <f t="shared" si="1"/>
        <v>200000</v>
      </c>
    </row>
    <row r="19" spans="2:7" ht="16" thickBot="1" x14ac:dyDescent="0.4">
      <c r="B19" s="251" t="s">
        <v>192</v>
      </c>
      <c r="C19" s="255">
        <v>1</v>
      </c>
      <c r="D19" s="255">
        <v>1000000</v>
      </c>
      <c r="E19" s="255">
        <f t="shared" si="0"/>
        <v>1000000</v>
      </c>
      <c r="F19" s="255">
        <v>0</v>
      </c>
      <c r="G19" s="255"/>
    </row>
    <row r="20" spans="2:7" ht="16" thickBot="1" x14ac:dyDescent="0.4">
      <c r="B20" s="251" t="s">
        <v>193</v>
      </c>
      <c r="C20" s="255">
        <v>1</v>
      </c>
      <c r="D20" s="255">
        <v>1000000</v>
      </c>
      <c r="E20" s="255">
        <f t="shared" si="0"/>
        <v>1000000</v>
      </c>
      <c r="F20" s="255">
        <v>20</v>
      </c>
      <c r="G20" s="255"/>
    </row>
    <row r="21" spans="2:7" ht="16" thickBot="1" x14ac:dyDescent="0.4">
      <c r="B21" s="251" t="s">
        <v>194</v>
      </c>
      <c r="C21" s="255">
        <v>0</v>
      </c>
      <c r="D21" s="255">
        <v>0</v>
      </c>
      <c r="E21" s="255">
        <f>C21*D21</f>
        <v>0</v>
      </c>
      <c r="F21" s="255">
        <v>0</v>
      </c>
      <c r="G21" s="255"/>
    </row>
    <row r="22" spans="2:7" ht="16" thickBot="1" x14ac:dyDescent="0.4">
      <c r="B22" s="42" t="s">
        <v>195</v>
      </c>
      <c r="C22" s="255">
        <v>1</v>
      </c>
      <c r="D22" s="255">
        <v>750000</v>
      </c>
      <c r="E22" s="255">
        <f t="shared" si="0"/>
        <v>750000</v>
      </c>
      <c r="F22" s="255">
        <v>0</v>
      </c>
      <c r="G22" s="255"/>
    </row>
    <row r="23" spans="2:7" ht="18" thickBot="1" x14ac:dyDescent="0.4">
      <c r="B23" s="256" t="s">
        <v>169</v>
      </c>
      <c r="C23" s="256"/>
      <c r="D23" s="256"/>
      <c r="E23" s="257">
        <f>SUM(E4:E22)</f>
        <v>18994871</v>
      </c>
      <c r="F23" s="258"/>
      <c r="G23" s="258">
        <f>SUM(G4:G22)</f>
        <v>1588087.0999999999</v>
      </c>
    </row>
    <row r="24" spans="2:7" s="259" customFormat="1" x14ac:dyDescent="0.35"/>
    <row r="25" spans="2:7" s="259" customFormat="1" x14ac:dyDescent="0.35"/>
    <row r="26" spans="2:7" s="259" customFormat="1" x14ac:dyDescent="0.35"/>
    <row r="27" spans="2:7" s="259" customFormat="1" x14ac:dyDescent="0.35"/>
    <row r="28" spans="2:7" s="259" customFormat="1" x14ac:dyDescent="0.35"/>
    <row r="29" spans="2:7" s="259" customFormat="1" x14ac:dyDescent="0.35"/>
    <row r="30" spans="2:7" s="259" customFormat="1" x14ac:dyDescent="0.35"/>
    <row r="31" spans="2:7" s="259" customFormat="1" x14ac:dyDescent="0.35"/>
    <row r="32" spans="2:7" s="259" customFormat="1" x14ac:dyDescent="0.35"/>
    <row r="33" s="259" customFormat="1" x14ac:dyDescent="0.35"/>
    <row r="34" s="259" customFormat="1" x14ac:dyDescent="0.35"/>
    <row r="35" s="259" customFormat="1" x14ac:dyDescent="0.35"/>
    <row r="36" s="259" customFormat="1" x14ac:dyDescent="0.35"/>
    <row r="37" s="259" customFormat="1" x14ac:dyDescent="0.35"/>
    <row r="38" s="259" customFormat="1" x14ac:dyDescent="0.35"/>
    <row r="39" s="259" customFormat="1" x14ac:dyDescent="0.35"/>
    <row r="40" s="259" customFormat="1" x14ac:dyDescent="0.35"/>
    <row r="41" s="259" customFormat="1" x14ac:dyDescent="0.35"/>
    <row r="42" s="259" customFormat="1" x14ac:dyDescent="0.35"/>
    <row r="43" s="259" customFormat="1" x14ac:dyDescent="0.35"/>
    <row r="44" s="259" customFormat="1" x14ac:dyDescent="0.35"/>
    <row r="45" s="259" customFormat="1" x14ac:dyDescent="0.35"/>
    <row r="46" s="259" customFormat="1" x14ac:dyDescent="0.35"/>
    <row r="47" s="259" customFormat="1" x14ac:dyDescent="0.35"/>
    <row r="48" s="259" customFormat="1" x14ac:dyDescent="0.35"/>
    <row r="49" s="259" customFormat="1" x14ac:dyDescent="0.35"/>
    <row r="50" s="259" customFormat="1" x14ac:dyDescent="0.35"/>
    <row r="51" s="259" customFormat="1" x14ac:dyDescent="0.35"/>
    <row r="52" s="259" customFormat="1" x14ac:dyDescent="0.35"/>
    <row r="53" s="259" customFormat="1" x14ac:dyDescent="0.35"/>
    <row r="54" s="259" customFormat="1" x14ac:dyDescent="0.35"/>
    <row r="55" s="259" customFormat="1" x14ac:dyDescent="0.35"/>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D85"/>
  <sheetViews>
    <sheetView topLeftCell="A41" workbookViewId="0">
      <selection activeCell="G41" sqref="G41"/>
    </sheetView>
  </sheetViews>
  <sheetFormatPr baseColWidth="10" defaultColWidth="11" defaultRowHeight="15.5" x14ac:dyDescent="0.35"/>
  <cols>
    <col min="1" max="1" width="4.33203125" style="1" customWidth="1"/>
    <col min="2" max="2" width="4.08203125" customWidth="1"/>
    <col min="3" max="3" width="14" customWidth="1"/>
    <col min="4" max="4" width="14.58203125" customWidth="1"/>
    <col min="6" max="6" width="15.58203125" customWidth="1"/>
    <col min="7" max="7" width="16" customWidth="1"/>
    <col min="9" max="9" width="5.5" customWidth="1"/>
    <col min="10" max="10" width="3.5" customWidth="1"/>
    <col min="12" max="12" width="12.83203125" style="150" customWidth="1"/>
    <col min="13" max="13" width="14.58203125" customWidth="1"/>
    <col min="14" max="14" width="16" customWidth="1"/>
    <col min="15" max="15" width="15.08203125" customWidth="1"/>
  </cols>
  <sheetData>
    <row r="1" spans="2:30" s="1" customFormat="1" x14ac:dyDescent="0.35">
      <c r="L1" s="145"/>
    </row>
    <row r="2" spans="2:30" s="1" customFormat="1" ht="26" x14ac:dyDescent="0.6">
      <c r="B2" s="160" t="s">
        <v>284</v>
      </c>
      <c r="C2" s="128"/>
      <c r="D2" s="128"/>
      <c r="E2" s="128"/>
      <c r="F2" s="128"/>
      <c r="G2" s="128"/>
      <c r="H2" s="128"/>
      <c r="I2" s="128"/>
      <c r="J2" s="128"/>
      <c r="K2" s="128"/>
      <c r="L2" s="158"/>
      <c r="M2" s="128"/>
      <c r="N2" s="128"/>
      <c r="O2" s="128"/>
      <c r="P2" s="128"/>
      <c r="Q2" s="128"/>
      <c r="R2" s="128"/>
      <c r="S2" s="128"/>
    </row>
    <row r="3" spans="2:30" s="1" customFormat="1" x14ac:dyDescent="0.35">
      <c r="L3" s="145"/>
    </row>
    <row r="4" spans="2:30" s="1" customFormat="1" x14ac:dyDescent="0.35">
      <c r="L4" s="145"/>
    </row>
    <row r="5" spans="2:30" s="1" customFormat="1" ht="18.5" x14ac:dyDescent="0.45">
      <c r="B5" s="157" t="s">
        <v>285</v>
      </c>
      <c r="D5" s="1" t="s">
        <v>310</v>
      </c>
      <c r="L5" s="145"/>
    </row>
    <row r="6" spans="2:30" s="1" customFormat="1" x14ac:dyDescent="0.35">
      <c r="D6" s="1" t="s">
        <v>311</v>
      </c>
      <c r="L6" s="145"/>
    </row>
    <row r="7" spans="2:30" s="1" customFormat="1" x14ac:dyDescent="0.35">
      <c r="D7" s="1" t="s">
        <v>312</v>
      </c>
      <c r="L7" s="145"/>
    </row>
    <row r="8" spans="2:30" s="1" customFormat="1" x14ac:dyDescent="0.35">
      <c r="D8" s="1" t="s">
        <v>313</v>
      </c>
      <c r="L8" s="145"/>
    </row>
    <row r="9" spans="2:30" s="1" customFormat="1" x14ac:dyDescent="0.35">
      <c r="L9" s="145"/>
    </row>
    <row r="10" spans="2:30" s="1" customFormat="1" x14ac:dyDescent="0.35">
      <c r="B10" s="14"/>
      <c r="L10" s="145"/>
    </row>
    <row r="11" spans="2:30" s="1" customFormat="1" x14ac:dyDescent="0.35">
      <c r="L11" s="145"/>
    </row>
    <row r="12" spans="2:30" s="1" customFormat="1" ht="238" customHeight="1" x14ac:dyDescent="0.35">
      <c r="B12" s="156" t="s">
        <v>286</v>
      </c>
      <c r="D12" s="153" t="s">
        <v>287</v>
      </c>
      <c r="E12" s="278" t="s">
        <v>314</v>
      </c>
      <c r="F12" s="279"/>
      <c r="G12" s="279"/>
      <c r="H12" s="279"/>
      <c r="I12" s="279"/>
      <c r="J12" s="280"/>
      <c r="K12" s="151"/>
      <c r="L12" s="153" t="s">
        <v>288</v>
      </c>
      <c r="M12" s="281" t="s">
        <v>315</v>
      </c>
      <c r="N12" s="282"/>
      <c r="O12" s="282"/>
      <c r="P12" s="282"/>
      <c r="Q12" s="282"/>
    </row>
    <row r="13" spans="2:30" s="1" customFormat="1" ht="175" customHeight="1" x14ac:dyDescent="0.35">
      <c r="D13" s="153" t="s">
        <v>289</v>
      </c>
      <c r="E13" s="278" t="s">
        <v>316</v>
      </c>
      <c r="F13" s="279"/>
      <c r="G13" s="279"/>
      <c r="H13" s="279"/>
      <c r="I13" s="279"/>
      <c r="J13" s="280"/>
      <c r="K13" s="152"/>
      <c r="L13" s="153" t="s">
        <v>290</v>
      </c>
      <c r="M13" s="281" t="s">
        <v>317</v>
      </c>
      <c r="N13" s="282"/>
      <c r="O13" s="282"/>
      <c r="P13" s="282"/>
      <c r="Q13" s="282"/>
    </row>
    <row r="14" spans="2:30" s="1" customFormat="1" x14ac:dyDescent="0.35">
      <c r="D14" s="145"/>
      <c r="E14" s="34"/>
      <c r="F14" s="34"/>
      <c r="L14" s="145"/>
    </row>
    <row r="15" spans="2:30" s="1" customFormat="1" ht="18.5" x14ac:dyDescent="0.45">
      <c r="B15" s="155" t="s">
        <v>291</v>
      </c>
      <c r="C15" s="154"/>
      <c r="L15" s="145"/>
    </row>
    <row r="16" spans="2:30" ht="16" thickBot="1" x14ac:dyDescent="0.4">
      <c r="B16" s="1"/>
      <c r="C16" s="1"/>
      <c r="D16" s="1"/>
      <c r="E16" s="1"/>
      <c r="F16" s="1"/>
      <c r="G16" s="1"/>
      <c r="H16" s="1"/>
      <c r="I16" s="1"/>
      <c r="J16" s="1"/>
      <c r="K16" s="1"/>
      <c r="L16" s="145"/>
      <c r="M16" s="1"/>
      <c r="N16" s="1"/>
      <c r="O16" s="1"/>
      <c r="P16" s="1"/>
      <c r="Q16" s="1"/>
      <c r="R16" s="1"/>
      <c r="S16" s="1"/>
      <c r="T16" s="1"/>
      <c r="U16" s="1"/>
      <c r="V16" s="1"/>
      <c r="W16" s="1"/>
      <c r="X16" s="1"/>
      <c r="Y16" s="1"/>
      <c r="Z16" s="1"/>
      <c r="AA16" s="1"/>
      <c r="AB16" s="1"/>
      <c r="AC16" s="1"/>
      <c r="AD16" s="1"/>
    </row>
    <row r="17" spans="2:30" x14ac:dyDescent="0.35">
      <c r="B17" s="136"/>
      <c r="C17" s="137"/>
      <c r="D17" s="137"/>
      <c r="E17" s="137"/>
      <c r="F17" s="137"/>
      <c r="G17" s="137"/>
      <c r="H17" s="138"/>
      <c r="I17" s="1"/>
      <c r="J17" s="136"/>
      <c r="K17" s="137"/>
      <c r="L17" s="146"/>
      <c r="M17" s="137"/>
      <c r="N17" s="137"/>
      <c r="O17" s="137"/>
      <c r="P17" s="138"/>
      <c r="Q17" s="1"/>
      <c r="R17" s="1"/>
      <c r="S17" s="1"/>
      <c r="T17" s="1"/>
      <c r="U17" s="1"/>
      <c r="V17" s="1"/>
      <c r="W17" s="1"/>
      <c r="X17" s="1"/>
      <c r="Y17" s="1"/>
      <c r="Z17" s="1"/>
      <c r="AA17" s="1"/>
      <c r="AB17" s="1"/>
      <c r="AC17" s="1"/>
      <c r="AD17" s="1"/>
    </row>
    <row r="18" spans="2:30" x14ac:dyDescent="0.35">
      <c r="B18" s="139"/>
      <c r="C18" s="131" t="s">
        <v>292</v>
      </c>
      <c r="D18" s="132"/>
      <c r="E18" s="132"/>
      <c r="F18" s="132"/>
      <c r="G18" s="132"/>
      <c r="H18" s="140"/>
      <c r="I18" s="1"/>
      <c r="J18" s="139"/>
      <c r="K18" s="131" t="s">
        <v>293</v>
      </c>
      <c r="L18" s="147"/>
      <c r="M18" s="132"/>
      <c r="N18" s="132"/>
      <c r="O18" s="132"/>
      <c r="P18" s="140"/>
      <c r="Q18" s="1"/>
      <c r="R18" s="1"/>
      <c r="S18" s="1"/>
      <c r="T18" s="1"/>
      <c r="U18" s="1"/>
      <c r="V18" s="1"/>
      <c r="W18" s="1"/>
      <c r="X18" s="1"/>
      <c r="Y18" s="1"/>
      <c r="Z18" s="1"/>
      <c r="AA18" s="1"/>
      <c r="AB18" s="1"/>
      <c r="AC18" s="1"/>
      <c r="AD18" s="1"/>
    </row>
    <row r="19" spans="2:30" x14ac:dyDescent="0.35">
      <c r="B19" s="139"/>
      <c r="C19" s="144" t="s">
        <v>294</v>
      </c>
      <c r="D19" s="132"/>
      <c r="E19" s="132"/>
      <c r="F19" s="132"/>
      <c r="G19" s="132"/>
      <c r="H19" s="140"/>
      <c r="I19" s="1"/>
      <c r="J19" s="139"/>
      <c r="K19" s="144" t="s">
        <v>294</v>
      </c>
      <c r="L19" s="147"/>
      <c r="M19" s="132"/>
      <c r="N19" s="132"/>
      <c r="O19" s="132"/>
      <c r="P19" s="140"/>
      <c r="Q19" s="1"/>
      <c r="R19" s="1"/>
      <c r="S19" s="1"/>
      <c r="T19" s="1"/>
      <c r="U19" s="1"/>
      <c r="V19" s="1"/>
      <c r="W19" s="1"/>
      <c r="X19" s="1"/>
      <c r="Y19" s="1"/>
      <c r="Z19" s="1"/>
      <c r="AA19" s="1"/>
      <c r="AB19" s="1"/>
      <c r="AC19" s="1"/>
      <c r="AD19" s="1"/>
    </row>
    <row r="20" spans="2:30" x14ac:dyDescent="0.35">
      <c r="B20" s="139"/>
      <c r="C20" s="132"/>
      <c r="D20" s="132"/>
      <c r="E20" s="132"/>
      <c r="F20" s="132"/>
      <c r="G20" s="132"/>
      <c r="H20" s="140"/>
      <c r="I20" s="1"/>
      <c r="J20" s="139"/>
      <c r="K20" s="132"/>
      <c r="L20" s="147"/>
      <c r="M20" s="132"/>
      <c r="N20" s="132"/>
      <c r="O20" s="132"/>
      <c r="P20" s="140"/>
      <c r="Q20" s="1"/>
      <c r="R20" s="1"/>
      <c r="S20" s="1"/>
      <c r="T20" s="1"/>
      <c r="U20" s="1"/>
      <c r="V20" s="1"/>
      <c r="W20" s="1"/>
      <c r="X20" s="1"/>
      <c r="Y20" s="1"/>
      <c r="Z20" s="1"/>
      <c r="AA20" s="1"/>
      <c r="AB20" s="1"/>
      <c r="AC20" s="1"/>
      <c r="AD20" s="1"/>
    </row>
    <row r="21" spans="2:30" x14ac:dyDescent="0.35">
      <c r="B21" s="139"/>
      <c r="C21" s="133" t="s">
        <v>295</v>
      </c>
      <c r="D21" s="132" t="s">
        <v>318</v>
      </c>
      <c r="E21" s="132"/>
      <c r="F21" s="132"/>
      <c r="G21" s="132"/>
      <c r="H21" s="140"/>
      <c r="I21" s="1"/>
      <c r="J21" s="139"/>
      <c r="K21" s="133" t="s">
        <v>295</v>
      </c>
      <c r="L21" s="147" t="s">
        <v>319</v>
      </c>
      <c r="M21" s="132"/>
      <c r="N21" s="132"/>
      <c r="O21" s="132"/>
      <c r="P21" s="140"/>
      <c r="Q21" s="1"/>
      <c r="R21" s="1"/>
      <c r="S21" s="1"/>
      <c r="T21" s="1"/>
      <c r="U21" s="1"/>
      <c r="V21" s="1"/>
      <c r="W21" s="1"/>
      <c r="X21" s="1"/>
      <c r="Y21" s="1"/>
      <c r="Z21" s="1"/>
      <c r="AA21" s="1"/>
      <c r="AB21" s="1"/>
      <c r="AC21" s="1"/>
      <c r="AD21" s="1"/>
    </row>
    <row r="22" spans="2:30" x14ac:dyDescent="0.35">
      <c r="B22" s="139"/>
      <c r="C22" s="133" t="s">
        <v>296</v>
      </c>
      <c r="D22" s="132" t="s">
        <v>320</v>
      </c>
      <c r="E22" s="132"/>
      <c r="F22" s="132"/>
      <c r="G22" s="132"/>
      <c r="H22" s="140"/>
      <c r="I22" s="1"/>
      <c r="J22" s="139"/>
      <c r="K22" s="133" t="s">
        <v>296</v>
      </c>
      <c r="L22" s="147" t="s">
        <v>320</v>
      </c>
      <c r="M22" s="132"/>
      <c r="N22" s="132"/>
      <c r="O22" s="132"/>
      <c r="P22" s="140"/>
      <c r="Q22" s="1"/>
      <c r="R22" s="1"/>
      <c r="S22" s="1"/>
      <c r="T22" s="1"/>
      <c r="U22" s="1"/>
      <c r="V22" s="1"/>
      <c r="W22" s="1"/>
      <c r="X22" s="1"/>
      <c r="Y22" s="1"/>
      <c r="Z22" s="1"/>
      <c r="AA22" s="1"/>
      <c r="AB22" s="1"/>
      <c r="AC22" s="1"/>
      <c r="AD22" s="1"/>
    </row>
    <row r="23" spans="2:30" x14ac:dyDescent="0.35">
      <c r="B23" s="139"/>
      <c r="C23" s="132"/>
      <c r="D23" s="132"/>
      <c r="E23" s="132"/>
      <c r="F23" s="132"/>
      <c r="G23" s="132"/>
      <c r="H23" s="140"/>
      <c r="I23" s="1"/>
      <c r="J23" s="139"/>
      <c r="K23" s="132"/>
      <c r="L23" s="147"/>
      <c r="M23" s="132"/>
      <c r="N23" s="132"/>
      <c r="O23" s="132"/>
      <c r="P23" s="140"/>
      <c r="Q23" s="1"/>
      <c r="R23" s="1"/>
      <c r="S23" s="1"/>
      <c r="T23" s="1"/>
      <c r="U23" s="1"/>
      <c r="V23" s="1"/>
      <c r="W23" s="1"/>
      <c r="X23" s="1"/>
      <c r="Y23" s="1"/>
      <c r="Z23" s="1"/>
      <c r="AA23" s="1"/>
      <c r="AB23" s="1"/>
      <c r="AC23" s="1"/>
      <c r="AD23" s="1"/>
    </row>
    <row r="24" spans="2:30" ht="16" thickBot="1" x14ac:dyDescent="0.4">
      <c r="B24" s="139"/>
      <c r="C24" s="133"/>
      <c r="D24" s="132"/>
      <c r="E24" s="132"/>
      <c r="F24" s="184" t="s">
        <v>297</v>
      </c>
      <c r="G24" s="184" t="s">
        <v>298</v>
      </c>
      <c r="H24" s="140"/>
      <c r="I24" s="1"/>
      <c r="J24" s="139"/>
      <c r="K24" s="133"/>
      <c r="L24" s="147"/>
      <c r="M24" s="132"/>
      <c r="N24" s="184" t="s">
        <v>297</v>
      </c>
      <c r="O24" s="184" t="s">
        <v>298</v>
      </c>
      <c r="P24" s="140"/>
      <c r="Q24" s="1"/>
      <c r="R24" s="1"/>
      <c r="S24" s="1"/>
      <c r="T24" s="1"/>
      <c r="U24" s="1"/>
      <c r="V24" s="1"/>
      <c r="W24" s="1"/>
      <c r="X24" s="1"/>
      <c r="Y24" s="1"/>
      <c r="Z24" s="1"/>
      <c r="AA24" s="1"/>
      <c r="AB24" s="1"/>
      <c r="AC24" s="1"/>
      <c r="AD24" s="1"/>
    </row>
    <row r="25" spans="2:30" ht="16.5" thickTop="1" thickBot="1" x14ac:dyDescent="0.4">
      <c r="B25" s="139"/>
      <c r="C25" s="133" t="s">
        <v>299</v>
      </c>
      <c r="D25" s="132"/>
      <c r="E25" s="132"/>
      <c r="F25" s="186">
        <v>1</v>
      </c>
      <c r="G25" s="188">
        <v>2</v>
      </c>
      <c r="H25" s="140"/>
      <c r="I25" s="1"/>
      <c r="J25" s="139"/>
      <c r="K25" s="133" t="s">
        <v>299</v>
      </c>
      <c r="L25" s="147"/>
      <c r="M25" s="132"/>
      <c r="N25" s="186">
        <v>1</v>
      </c>
      <c r="O25" s="188">
        <v>2</v>
      </c>
      <c r="P25" s="140"/>
      <c r="Q25" s="1"/>
      <c r="R25" s="1"/>
      <c r="S25" s="1"/>
      <c r="T25" s="1"/>
      <c r="U25" s="1"/>
      <c r="V25" s="1"/>
      <c r="W25" s="1"/>
      <c r="X25" s="1"/>
      <c r="Y25" s="1"/>
      <c r="Z25" s="1"/>
      <c r="AA25" s="1"/>
      <c r="AB25" s="1"/>
      <c r="AC25" s="1"/>
      <c r="AD25" s="1"/>
    </row>
    <row r="26" spans="2:30" ht="16.5" thickTop="1" thickBot="1" x14ac:dyDescent="0.4">
      <c r="B26" s="139"/>
      <c r="C26" s="133" t="s">
        <v>300</v>
      </c>
      <c r="D26" s="132"/>
      <c r="E26" s="132"/>
      <c r="F26" s="190" t="s">
        <v>321</v>
      </c>
      <c r="G26" s="185" t="s">
        <v>301</v>
      </c>
      <c r="H26" s="140"/>
      <c r="I26" s="1"/>
      <c r="J26" s="139"/>
      <c r="K26" s="133" t="s">
        <v>300</v>
      </c>
      <c r="L26" s="132"/>
      <c r="M26" s="132"/>
      <c r="N26" s="185" t="s">
        <v>301</v>
      </c>
      <c r="O26" s="185" t="s">
        <v>301</v>
      </c>
      <c r="P26" s="140"/>
      <c r="Q26" s="1"/>
      <c r="R26" s="1"/>
      <c r="S26" s="1"/>
      <c r="T26" s="1"/>
      <c r="U26" s="1"/>
      <c r="V26" s="1"/>
      <c r="W26" s="1"/>
      <c r="X26" s="1"/>
      <c r="Y26" s="1"/>
      <c r="Z26" s="1"/>
      <c r="AA26" s="1"/>
      <c r="AB26" s="1"/>
      <c r="AC26" s="1"/>
      <c r="AD26" s="1"/>
    </row>
    <row r="27" spans="2:30" ht="16.5" thickTop="1" thickBot="1" x14ac:dyDescent="0.4">
      <c r="B27" s="139"/>
      <c r="C27" s="133" t="s">
        <v>322</v>
      </c>
      <c r="D27" s="132"/>
      <c r="E27" s="132"/>
      <c r="F27" s="187" t="s">
        <v>323</v>
      </c>
      <c r="G27" s="190" t="s">
        <v>324</v>
      </c>
      <c r="H27" s="140"/>
      <c r="I27" s="1"/>
      <c r="J27" s="139"/>
      <c r="K27" s="133" t="s">
        <v>322</v>
      </c>
      <c r="L27" s="132"/>
      <c r="M27" s="132"/>
      <c r="N27" s="185" t="s">
        <v>325</v>
      </c>
      <c r="O27" s="185" t="s">
        <v>326</v>
      </c>
      <c r="P27" s="140"/>
      <c r="Q27" s="1"/>
      <c r="R27" s="1"/>
      <c r="S27" s="1"/>
      <c r="T27" s="1"/>
      <c r="U27" s="1"/>
      <c r="V27" s="1"/>
      <c r="W27" s="1"/>
      <c r="X27" s="1"/>
      <c r="Y27" s="1"/>
      <c r="Z27" s="1"/>
      <c r="AA27" s="1"/>
      <c r="AB27" s="1"/>
      <c r="AC27" s="1"/>
      <c r="AD27" s="1"/>
    </row>
    <row r="28" spans="2:30" ht="16.5" thickTop="1" thickBot="1" x14ac:dyDescent="0.4">
      <c r="B28" s="139"/>
      <c r="C28" s="133" t="s">
        <v>302</v>
      </c>
      <c r="D28" s="132"/>
      <c r="E28" s="132"/>
      <c r="F28" s="189">
        <v>12</v>
      </c>
      <c r="G28" s="188">
        <v>10</v>
      </c>
      <c r="H28" s="140"/>
      <c r="I28" s="1"/>
      <c r="J28" s="139"/>
      <c r="K28" s="133" t="s">
        <v>302</v>
      </c>
      <c r="L28" s="132"/>
      <c r="M28" s="132"/>
      <c r="N28" s="186">
        <v>6</v>
      </c>
      <c r="O28" s="186">
        <v>4</v>
      </c>
      <c r="P28" s="140"/>
      <c r="Q28" s="1"/>
      <c r="R28" s="1"/>
      <c r="S28" s="1"/>
      <c r="T28" s="1"/>
      <c r="U28" s="1"/>
      <c r="V28" s="1"/>
      <c r="W28" s="1"/>
      <c r="X28" s="1"/>
      <c r="Y28" s="1"/>
      <c r="Z28" s="1"/>
      <c r="AA28" s="1"/>
      <c r="AB28" s="1"/>
      <c r="AC28" s="1"/>
      <c r="AD28" s="1"/>
    </row>
    <row r="29" spans="2:30" ht="16.5" thickTop="1" thickBot="1" x14ac:dyDescent="0.4">
      <c r="B29" s="139"/>
      <c r="C29" s="133" t="s">
        <v>327</v>
      </c>
      <c r="D29" s="132"/>
      <c r="E29" s="132"/>
      <c r="F29" s="190">
        <v>375</v>
      </c>
      <c r="G29" s="185">
        <v>400</v>
      </c>
      <c r="H29" s="140"/>
      <c r="I29" s="1"/>
      <c r="J29" s="139"/>
      <c r="K29" s="133" t="s">
        <v>327</v>
      </c>
      <c r="L29" s="147"/>
      <c r="M29" s="132"/>
      <c r="N29" s="185">
        <v>220</v>
      </c>
      <c r="O29" s="185">
        <v>220</v>
      </c>
      <c r="P29" s="140"/>
      <c r="Q29" s="1"/>
      <c r="R29" s="1"/>
      <c r="S29" s="1"/>
      <c r="T29" s="1"/>
      <c r="U29" s="1"/>
      <c r="V29" s="1"/>
      <c r="W29" s="1"/>
      <c r="X29" s="1"/>
      <c r="Y29" s="1"/>
      <c r="Z29" s="1"/>
      <c r="AA29" s="1"/>
      <c r="AB29" s="1"/>
      <c r="AC29" s="1"/>
      <c r="AD29" s="1"/>
    </row>
    <row r="30" spans="2:30" ht="16.5" thickTop="1" thickBot="1" x14ac:dyDescent="0.4">
      <c r="B30" s="139"/>
      <c r="C30" s="133" t="s">
        <v>328</v>
      </c>
      <c r="D30" s="132"/>
      <c r="E30" s="132"/>
      <c r="F30" s="185">
        <v>1000</v>
      </c>
      <c r="G30" s="185">
        <v>1000</v>
      </c>
      <c r="H30" s="140"/>
      <c r="I30" s="1"/>
      <c r="J30" s="139"/>
      <c r="K30" s="133" t="s">
        <v>328</v>
      </c>
      <c r="L30" s="147"/>
      <c r="M30" s="132"/>
      <c r="N30" s="185">
        <v>1000</v>
      </c>
      <c r="O30" s="185">
        <v>1000</v>
      </c>
      <c r="P30" s="140"/>
      <c r="Q30" s="1"/>
      <c r="R30" s="1"/>
      <c r="S30" s="1"/>
      <c r="T30" s="1"/>
      <c r="U30" s="1"/>
      <c r="V30" s="1"/>
      <c r="W30" s="1"/>
      <c r="X30" s="1"/>
      <c r="Y30" s="1"/>
      <c r="Z30" s="1"/>
      <c r="AA30" s="1"/>
      <c r="AB30" s="1"/>
      <c r="AC30" s="1"/>
      <c r="AD30" s="1"/>
    </row>
    <row r="31" spans="2:30" ht="16.5" thickTop="1" thickBot="1" x14ac:dyDescent="0.4">
      <c r="B31" s="139"/>
      <c r="C31" s="133" t="s">
        <v>303</v>
      </c>
      <c r="D31" s="132"/>
      <c r="E31" s="132"/>
      <c r="F31" s="185">
        <v>200</v>
      </c>
      <c r="G31" s="185">
        <v>200</v>
      </c>
      <c r="H31" s="140"/>
      <c r="I31" s="1"/>
      <c r="J31" s="139"/>
      <c r="K31" s="133" t="s">
        <v>303</v>
      </c>
      <c r="L31" s="147"/>
      <c r="M31" s="132"/>
      <c r="N31" s="185">
        <v>200</v>
      </c>
      <c r="O31" s="185">
        <v>200</v>
      </c>
      <c r="P31" s="140"/>
      <c r="Q31" s="1"/>
      <c r="R31" s="1"/>
      <c r="S31" s="1"/>
      <c r="T31" s="1"/>
      <c r="U31" s="1"/>
      <c r="V31" s="1"/>
      <c r="W31" s="1"/>
      <c r="X31" s="1"/>
      <c r="Y31" s="1"/>
      <c r="Z31" s="1"/>
      <c r="AA31" s="1"/>
      <c r="AB31" s="1"/>
      <c r="AC31" s="1"/>
      <c r="AD31" s="1"/>
    </row>
    <row r="32" spans="2:30" ht="16.5" thickTop="1" thickBot="1" x14ac:dyDescent="0.4">
      <c r="B32" s="139"/>
      <c r="C32" s="133" t="s">
        <v>304</v>
      </c>
      <c r="D32" s="132"/>
      <c r="E32" s="132"/>
      <c r="F32" s="187">
        <v>297672</v>
      </c>
      <c r="G32" s="185">
        <v>2395840</v>
      </c>
      <c r="H32" s="140"/>
      <c r="I32" s="1"/>
      <c r="J32" s="139"/>
      <c r="K32" s="133" t="s">
        <v>304</v>
      </c>
      <c r="L32" s="147"/>
      <c r="M32" s="132"/>
      <c r="N32" s="185">
        <v>1385014</v>
      </c>
      <c r="O32" s="185">
        <v>3016369</v>
      </c>
      <c r="P32" s="140"/>
      <c r="Q32" s="1"/>
      <c r="R32" s="1"/>
      <c r="S32" s="1"/>
      <c r="T32" s="1"/>
      <c r="U32" s="1"/>
      <c r="V32" s="1"/>
      <c r="W32" s="1"/>
      <c r="X32" s="1"/>
      <c r="Y32" s="1"/>
      <c r="Z32" s="1"/>
      <c r="AA32" s="1"/>
      <c r="AB32" s="1"/>
      <c r="AC32" s="1"/>
      <c r="AD32" s="1"/>
    </row>
    <row r="33" spans="2:30" ht="16.5" thickTop="1" thickBot="1" x14ac:dyDescent="0.4">
      <c r="B33" s="139"/>
      <c r="C33" s="133" t="s">
        <v>305</v>
      </c>
      <c r="D33" s="132"/>
      <c r="E33" s="132"/>
      <c r="F33" s="187">
        <v>8653293.6653214898</v>
      </c>
      <c r="G33" s="185">
        <v>16706237.692609798</v>
      </c>
      <c r="H33" s="140"/>
      <c r="I33" s="1"/>
      <c r="J33" s="139"/>
      <c r="K33" s="133" t="s">
        <v>305</v>
      </c>
      <c r="L33" s="147"/>
      <c r="M33" s="132"/>
      <c r="N33" s="185">
        <v>7186440.3045057058</v>
      </c>
      <c r="O33" s="185">
        <v>11988417</v>
      </c>
      <c r="P33" s="140"/>
      <c r="Q33" s="1"/>
      <c r="R33" s="1"/>
      <c r="S33" s="1"/>
      <c r="T33" s="1"/>
      <c r="U33" s="1"/>
      <c r="V33" s="1"/>
      <c r="W33" s="1"/>
      <c r="X33" s="1"/>
      <c r="Y33" s="1"/>
      <c r="Z33" s="1"/>
      <c r="AA33" s="1"/>
      <c r="AB33" s="1"/>
      <c r="AC33" s="1"/>
      <c r="AD33" s="1"/>
    </row>
    <row r="34" spans="2:30" ht="16" thickTop="1" x14ac:dyDescent="0.35">
      <c r="B34" s="139"/>
      <c r="C34" s="132"/>
      <c r="D34" s="132"/>
      <c r="E34" s="132"/>
      <c r="F34" s="132"/>
      <c r="G34" s="132"/>
      <c r="H34" s="140"/>
      <c r="I34" s="1"/>
      <c r="J34" s="139"/>
      <c r="K34" s="132"/>
      <c r="L34" s="147"/>
      <c r="M34" s="132"/>
      <c r="N34" s="132"/>
      <c r="O34" s="132"/>
      <c r="P34" s="140"/>
      <c r="Q34" s="1"/>
      <c r="R34" s="1"/>
      <c r="S34" s="1"/>
      <c r="T34" s="1"/>
      <c r="U34" s="1"/>
      <c r="V34" s="1"/>
      <c r="W34" s="1"/>
      <c r="X34" s="1"/>
      <c r="Y34" s="1"/>
      <c r="Z34" s="1"/>
      <c r="AA34" s="1"/>
      <c r="AB34" s="1"/>
      <c r="AC34" s="1"/>
      <c r="AD34" s="1"/>
    </row>
    <row r="35" spans="2:30" x14ac:dyDescent="0.35">
      <c r="B35" s="139"/>
      <c r="C35" s="134" t="s">
        <v>306</v>
      </c>
      <c r="D35" s="135" t="s">
        <v>329</v>
      </c>
      <c r="E35" s="132"/>
      <c r="F35" s="132"/>
      <c r="G35" s="132"/>
      <c r="H35" s="140"/>
      <c r="I35" s="1"/>
      <c r="J35" s="139"/>
      <c r="K35" s="134" t="s">
        <v>306</v>
      </c>
      <c r="L35" s="148" t="s">
        <v>330</v>
      </c>
      <c r="M35" s="132"/>
      <c r="N35" s="132"/>
      <c r="O35" s="132"/>
      <c r="P35" s="140"/>
      <c r="Q35" s="1"/>
      <c r="R35" s="1"/>
      <c r="S35" s="1"/>
      <c r="T35" s="1"/>
      <c r="U35" s="1"/>
      <c r="V35" s="1"/>
      <c r="W35" s="1"/>
      <c r="X35" s="1"/>
      <c r="Y35" s="1"/>
      <c r="Z35" s="1"/>
      <c r="AA35" s="1"/>
      <c r="AB35" s="1"/>
      <c r="AC35" s="1"/>
      <c r="AD35" s="1"/>
    </row>
    <row r="36" spans="2:30" x14ac:dyDescent="0.35">
      <c r="B36" s="139"/>
      <c r="C36" s="132"/>
      <c r="D36" s="135" t="s">
        <v>331</v>
      </c>
      <c r="E36" s="132"/>
      <c r="F36" s="132"/>
      <c r="G36" s="132"/>
      <c r="H36" s="140"/>
      <c r="I36" s="1"/>
      <c r="J36" s="139"/>
      <c r="K36" s="132"/>
      <c r="L36" s="148" t="s">
        <v>332</v>
      </c>
      <c r="M36" s="132"/>
      <c r="N36" s="132"/>
      <c r="O36" s="132"/>
      <c r="P36" s="140"/>
      <c r="Q36" s="1"/>
      <c r="R36" s="1"/>
      <c r="S36" s="1"/>
      <c r="T36" s="1"/>
      <c r="U36" s="1"/>
      <c r="V36" s="1"/>
      <c r="W36" s="1"/>
      <c r="X36" s="1"/>
      <c r="Y36" s="1"/>
      <c r="Z36" s="1"/>
      <c r="AA36" s="1"/>
      <c r="AB36" s="1"/>
      <c r="AC36" s="1"/>
      <c r="AD36" s="1"/>
    </row>
    <row r="37" spans="2:30" x14ac:dyDescent="0.35">
      <c r="B37" s="139"/>
      <c r="C37" s="132"/>
      <c r="D37" s="135" t="s">
        <v>333</v>
      </c>
      <c r="E37" s="132"/>
      <c r="F37" s="132"/>
      <c r="G37" s="132"/>
      <c r="H37" s="140"/>
      <c r="I37" s="1"/>
      <c r="J37" s="139"/>
      <c r="K37" s="132"/>
      <c r="L37" s="148"/>
      <c r="M37" s="132"/>
      <c r="N37" s="132"/>
      <c r="O37" s="132"/>
      <c r="P37" s="140"/>
      <c r="Q37" s="1"/>
      <c r="R37" s="1"/>
      <c r="S37" s="1"/>
      <c r="T37" s="1"/>
      <c r="U37" s="1"/>
      <c r="V37" s="1"/>
      <c r="W37" s="1"/>
      <c r="X37" s="1"/>
      <c r="Y37" s="1"/>
      <c r="Z37" s="1"/>
      <c r="AA37" s="1"/>
      <c r="AB37" s="1"/>
      <c r="AC37" s="1"/>
      <c r="AD37" s="1"/>
    </row>
    <row r="38" spans="2:30" ht="16" thickBot="1" x14ac:dyDescent="0.4">
      <c r="B38" s="141"/>
      <c r="C38" s="142"/>
      <c r="D38" s="142"/>
      <c r="E38" s="142"/>
      <c r="F38" s="142"/>
      <c r="G38" s="142"/>
      <c r="H38" s="143"/>
      <c r="I38" s="1"/>
      <c r="J38" s="141"/>
      <c r="K38" s="142"/>
      <c r="L38" s="149"/>
      <c r="M38" s="142"/>
      <c r="N38" s="142"/>
      <c r="O38" s="142"/>
      <c r="P38" s="143"/>
      <c r="Q38" s="1"/>
      <c r="R38" s="1"/>
      <c r="S38" s="1"/>
      <c r="T38" s="1"/>
      <c r="U38" s="1"/>
      <c r="V38" s="1"/>
      <c r="W38" s="1"/>
      <c r="X38" s="1"/>
      <c r="Y38" s="1"/>
      <c r="Z38" s="1"/>
      <c r="AA38" s="1"/>
      <c r="AB38" s="1"/>
      <c r="AC38" s="1"/>
      <c r="AD38" s="1"/>
    </row>
    <row r="39" spans="2:30" ht="16" thickBot="1" x14ac:dyDescent="0.4">
      <c r="B39" s="1"/>
      <c r="C39" s="1"/>
      <c r="D39" s="1"/>
      <c r="E39" s="1"/>
      <c r="F39" s="1"/>
      <c r="G39" s="1"/>
      <c r="H39" s="1"/>
      <c r="I39" s="1"/>
      <c r="J39" s="1"/>
      <c r="K39" s="1"/>
      <c r="L39" s="145"/>
      <c r="M39" s="1"/>
      <c r="N39" s="1"/>
      <c r="O39" s="1"/>
      <c r="P39" s="1"/>
      <c r="Q39" s="1"/>
      <c r="R39" s="1"/>
      <c r="S39" s="1"/>
      <c r="T39" s="1"/>
      <c r="U39" s="1"/>
      <c r="V39" s="1"/>
      <c r="W39" s="1"/>
      <c r="X39" s="1"/>
      <c r="Y39" s="1"/>
      <c r="Z39" s="1"/>
      <c r="AA39" s="1"/>
      <c r="AB39" s="1"/>
      <c r="AC39" s="1"/>
      <c r="AD39" s="1"/>
    </row>
    <row r="40" spans="2:30" x14ac:dyDescent="0.35">
      <c r="B40" s="136"/>
      <c r="C40" s="137"/>
      <c r="D40" s="137"/>
      <c r="E40" s="137"/>
      <c r="F40" s="137"/>
      <c r="G40" s="137"/>
      <c r="H40" s="138"/>
      <c r="I40" s="1"/>
      <c r="J40" s="136"/>
      <c r="K40" s="137"/>
      <c r="L40" s="146"/>
      <c r="M40" s="137"/>
      <c r="N40" s="137"/>
      <c r="O40" s="137"/>
      <c r="P40" s="138"/>
      <c r="Q40" s="1"/>
      <c r="R40" s="1"/>
      <c r="S40" s="1"/>
      <c r="T40" s="1"/>
      <c r="U40" s="1"/>
      <c r="V40" s="1"/>
      <c r="W40" s="1"/>
      <c r="X40" s="1"/>
      <c r="Y40" s="1"/>
      <c r="Z40" s="1"/>
      <c r="AA40" s="1"/>
      <c r="AB40" s="1"/>
      <c r="AC40" s="1"/>
      <c r="AD40" s="1"/>
    </row>
    <row r="41" spans="2:30" x14ac:dyDescent="0.35">
      <c r="B41" s="139"/>
      <c r="C41" s="131" t="s">
        <v>307</v>
      </c>
      <c r="D41" s="132"/>
      <c r="E41" s="132"/>
      <c r="F41" s="132"/>
      <c r="G41" s="132"/>
      <c r="H41" s="140"/>
      <c r="I41" s="1"/>
      <c r="J41" s="139"/>
      <c r="K41" s="131" t="s">
        <v>308</v>
      </c>
      <c r="L41" s="147"/>
      <c r="M41" s="132"/>
      <c r="N41" s="132"/>
      <c r="O41" s="132"/>
      <c r="P41" s="140"/>
      <c r="Q41" s="1"/>
      <c r="R41" s="1"/>
      <c r="S41" s="1"/>
      <c r="T41" s="1"/>
      <c r="U41" s="1"/>
      <c r="V41" s="1"/>
      <c r="W41" s="1"/>
      <c r="X41" s="1"/>
      <c r="Y41" s="1"/>
      <c r="Z41" s="1"/>
      <c r="AA41" s="1"/>
      <c r="AB41" s="1"/>
      <c r="AC41" s="1"/>
      <c r="AD41" s="1"/>
    </row>
    <row r="42" spans="2:30" x14ac:dyDescent="0.35">
      <c r="B42" s="139"/>
      <c r="C42" s="144" t="s">
        <v>334</v>
      </c>
      <c r="D42" s="132"/>
      <c r="E42" s="132"/>
      <c r="F42" s="132"/>
      <c r="G42" s="132"/>
      <c r="H42" s="140"/>
      <c r="I42" s="1"/>
      <c r="J42" s="139"/>
      <c r="K42" s="144" t="s">
        <v>335</v>
      </c>
      <c r="L42" s="147"/>
      <c r="M42" s="132"/>
      <c r="N42" s="132"/>
      <c r="O42" s="132"/>
      <c r="P42" s="140"/>
      <c r="Q42" s="1"/>
      <c r="R42" s="1"/>
      <c r="S42" s="1"/>
      <c r="T42" s="1"/>
      <c r="U42" s="1"/>
      <c r="V42" s="1"/>
      <c r="W42" s="1"/>
      <c r="X42" s="1"/>
      <c r="Y42" s="1"/>
      <c r="Z42" s="1"/>
      <c r="AA42" s="1"/>
      <c r="AB42" s="1"/>
      <c r="AC42" s="1"/>
      <c r="AD42" s="1"/>
    </row>
    <row r="43" spans="2:30" x14ac:dyDescent="0.35">
      <c r="B43" s="139"/>
      <c r="C43" s="132"/>
      <c r="D43" s="132"/>
      <c r="E43" s="132"/>
      <c r="F43" s="132"/>
      <c r="G43" s="132"/>
      <c r="H43" s="140"/>
      <c r="I43" s="1"/>
      <c r="J43" s="139"/>
      <c r="K43" s="132"/>
      <c r="L43" s="147"/>
      <c r="M43" s="132"/>
      <c r="N43" s="132"/>
      <c r="O43" s="132"/>
      <c r="P43" s="140"/>
      <c r="Q43" s="1"/>
      <c r="R43" s="1"/>
      <c r="S43" s="1"/>
      <c r="T43" s="1"/>
      <c r="U43" s="1"/>
      <c r="V43" s="1"/>
      <c r="W43" s="1"/>
      <c r="X43" s="1"/>
      <c r="Y43" s="1"/>
      <c r="Z43" s="1"/>
      <c r="AA43" s="1"/>
      <c r="AB43" s="1"/>
      <c r="AC43" s="1"/>
      <c r="AD43" s="1"/>
    </row>
    <row r="44" spans="2:30" x14ac:dyDescent="0.35">
      <c r="B44" s="139"/>
      <c r="C44" s="133" t="s">
        <v>295</v>
      </c>
      <c r="D44" s="132" t="s">
        <v>336</v>
      </c>
      <c r="E44" s="132"/>
      <c r="F44" s="132"/>
      <c r="G44" s="132"/>
      <c r="H44" s="140"/>
      <c r="I44" s="1"/>
      <c r="J44" s="139"/>
      <c r="K44" s="133" t="s">
        <v>295</v>
      </c>
      <c r="L44" s="147" t="s">
        <v>336</v>
      </c>
      <c r="M44" s="132"/>
      <c r="N44" s="132"/>
      <c r="O44" s="132"/>
      <c r="P44" s="140"/>
      <c r="Q44" s="1"/>
      <c r="R44" s="1"/>
      <c r="S44" s="1"/>
      <c r="T44" s="1"/>
      <c r="U44" s="1"/>
      <c r="V44" s="1"/>
      <c r="W44" s="1"/>
      <c r="X44" s="1"/>
      <c r="Y44" s="1"/>
      <c r="Z44" s="1"/>
      <c r="AA44" s="1"/>
      <c r="AB44" s="1"/>
      <c r="AC44" s="1"/>
      <c r="AD44" s="1"/>
    </row>
    <row r="45" spans="2:30" x14ac:dyDescent="0.35">
      <c r="B45" s="139"/>
      <c r="C45" s="133" t="s">
        <v>296</v>
      </c>
      <c r="D45" s="132" t="s">
        <v>337</v>
      </c>
      <c r="E45" s="132"/>
      <c r="F45" s="132"/>
      <c r="G45" s="132"/>
      <c r="H45" s="140"/>
      <c r="I45" s="1"/>
      <c r="J45" s="139"/>
      <c r="K45" s="133" t="s">
        <v>296</v>
      </c>
      <c r="L45" s="147" t="s">
        <v>337</v>
      </c>
      <c r="M45" s="132"/>
      <c r="N45" s="132"/>
      <c r="O45" s="132"/>
      <c r="P45" s="140"/>
      <c r="Q45" s="1"/>
      <c r="R45" s="1"/>
      <c r="S45" s="1"/>
      <c r="T45" s="1"/>
      <c r="U45" s="1"/>
      <c r="V45" s="1"/>
      <c r="W45" s="1"/>
      <c r="X45" s="1"/>
      <c r="Y45" s="1"/>
      <c r="Z45" s="1"/>
      <c r="AA45" s="1"/>
      <c r="AB45" s="1"/>
      <c r="AC45" s="1"/>
      <c r="AD45" s="1"/>
    </row>
    <row r="46" spans="2:30" x14ac:dyDescent="0.35">
      <c r="B46" s="139"/>
      <c r="C46" s="132"/>
      <c r="D46" s="132"/>
      <c r="E46" s="132"/>
      <c r="F46" s="132"/>
      <c r="G46" s="132"/>
      <c r="H46" s="140"/>
      <c r="I46" s="1"/>
      <c r="J46" s="139"/>
      <c r="K46" s="132"/>
      <c r="L46" s="147"/>
      <c r="M46" s="132"/>
      <c r="N46" s="132"/>
      <c r="O46" s="132"/>
      <c r="P46" s="140"/>
      <c r="Q46" s="1"/>
      <c r="R46" s="1"/>
      <c r="S46" s="1"/>
      <c r="T46" s="1"/>
      <c r="U46" s="1"/>
      <c r="V46" s="1"/>
      <c r="W46" s="1"/>
      <c r="X46" s="1"/>
      <c r="Y46" s="1"/>
      <c r="Z46" s="1"/>
      <c r="AA46" s="1"/>
      <c r="AB46" s="1"/>
      <c r="AC46" s="1"/>
      <c r="AD46" s="1"/>
    </row>
    <row r="47" spans="2:30" ht="16" thickBot="1" x14ac:dyDescent="0.4">
      <c r="B47" s="139"/>
      <c r="C47" s="133"/>
      <c r="D47" s="132"/>
      <c r="E47" s="132"/>
      <c r="F47" s="184" t="s">
        <v>297</v>
      </c>
      <c r="G47" s="184" t="s">
        <v>298</v>
      </c>
      <c r="H47" s="140"/>
      <c r="I47" s="1"/>
      <c r="J47" s="139"/>
      <c r="K47" s="133"/>
      <c r="L47" s="132"/>
      <c r="M47" s="132"/>
      <c r="N47" s="184" t="s">
        <v>297</v>
      </c>
      <c r="O47" s="184" t="s">
        <v>298</v>
      </c>
      <c r="P47" s="140"/>
      <c r="Q47" s="1"/>
      <c r="R47" s="1"/>
      <c r="S47" s="1"/>
      <c r="T47" s="1"/>
      <c r="U47" s="1"/>
      <c r="V47" s="1"/>
      <c r="W47" s="1"/>
      <c r="X47" s="1"/>
      <c r="Y47" s="1"/>
      <c r="Z47" s="1"/>
      <c r="AA47" s="1"/>
      <c r="AB47" s="1"/>
      <c r="AC47" s="1"/>
      <c r="AD47" s="1"/>
    </row>
    <row r="48" spans="2:30" ht="16.5" thickTop="1" thickBot="1" x14ac:dyDescent="0.4">
      <c r="B48" s="139"/>
      <c r="C48" s="133" t="s">
        <v>299</v>
      </c>
      <c r="D48" s="132"/>
      <c r="E48" s="132"/>
      <c r="F48" s="186">
        <v>1</v>
      </c>
      <c r="G48" s="188">
        <v>2</v>
      </c>
      <c r="H48" s="140"/>
      <c r="I48" s="1"/>
      <c r="J48" s="139"/>
      <c r="K48" s="133" t="s">
        <v>299</v>
      </c>
      <c r="L48" s="132"/>
      <c r="M48" s="132"/>
      <c r="N48" s="186">
        <v>1</v>
      </c>
      <c r="O48" s="188">
        <v>2</v>
      </c>
      <c r="P48" s="140"/>
      <c r="Q48" s="1"/>
      <c r="R48" s="1"/>
      <c r="S48" s="1"/>
      <c r="T48" s="1"/>
      <c r="U48" s="1"/>
      <c r="V48" s="1"/>
      <c r="W48" s="1"/>
      <c r="X48" s="1"/>
      <c r="Y48" s="1"/>
      <c r="Z48" s="1"/>
      <c r="AA48" s="1"/>
      <c r="AB48" s="1"/>
      <c r="AC48" s="1"/>
      <c r="AD48" s="1"/>
    </row>
    <row r="49" spans="2:30" ht="16.5" thickTop="1" thickBot="1" x14ac:dyDescent="0.4">
      <c r="B49" s="139"/>
      <c r="C49" s="133" t="s">
        <v>300</v>
      </c>
      <c r="D49" s="132"/>
      <c r="E49" s="132"/>
      <c r="F49" s="185" t="s">
        <v>301</v>
      </c>
      <c r="G49" s="185" t="s">
        <v>301</v>
      </c>
      <c r="H49" s="140"/>
      <c r="I49" s="1"/>
      <c r="J49" s="139"/>
      <c r="K49" s="133" t="s">
        <v>300</v>
      </c>
      <c r="L49" s="132"/>
      <c r="M49" s="132"/>
      <c r="N49" s="185" t="s">
        <v>301</v>
      </c>
      <c r="O49" s="185" t="s">
        <v>301</v>
      </c>
      <c r="P49" s="140"/>
      <c r="Q49" s="1"/>
      <c r="R49" s="1"/>
      <c r="S49" s="1"/>
      <c r="T49" s="1"/>
      <c r="U49" s="1"/>
      <c r="V49" s="1"/>
      <c r="W49" s="1"/>
      <c r="X49" s="1"/>
      <c r="Y49" s="1"/>
      <c r="Z49" s="1"/>
      <c r="AA49" s="1"/>
      <c r="AB49" s="1"/>
      <c r="AC49" s="1"/>
      <c r="AD49" s="1"/>
    </row>
    <row r="50" spans="2:30" ht="16.5" thickTop="1" thickBot="1" x14ac:dyDescent="0.4">
      <c r="B50" s="139"/>
      <c r="C50" s="133" t="s">
        <v>322</v>
      </c>
      <c r="D50" s="132"/>
      <c r="E50" s="132"/>
      <c r="F50" s="185" t="s">
        <v>326</v>
      </c>
      <c r="G50" s="190" t="s">
        <v>338</v>
      </c>
      <c r="H50" s="140"/>
      <c r="I50" s="1"/>
      <c r="J50" s="139"/>
      <c r="K50" s="133" t="s">
        <v>322</v>
      </c>
      <c r="L50" s="132"/>
      <c r="M50" s="132" t="s">
        <v>339</v>
      </c>
      <c r="N50" s="185" t="s">
        <v>326</v>
      </c>
      <c r="O50" s="187" t="s">
        <v>340</v>
      </c>
      <c r="P50" s="140"/>
      <c r="Q50" s="1"/>
      <c r="R50" s="1"/>
      <c r="S50" s="1"/>
      <c r="T50" s="1"/>
      <c r="U50" s="1"/>
      <c r="V50" s="1"/>
      <c r="W50" s="1"/>
      <c r="X50" s="1"/>
      <c r="Y50" s="1"/>
      <c r="Z50" s="1"/>
      <c r="AA50" s="1"/>
      <c r="AB50" s="1"/>
      <c r="AC50" s="1"/>
      <c r="AD50" s="1"/>
    </row>
    <row r="51" spans="2:30" ht="16.5" thickTop="1" thickBot="1" x14ac:dyDescent="0.4">
      <c r="B51" s="139"/>
      <c r="C51" s="133" t="s">
        <v>302</v>
      </c>
      <c r="D51" s="132"/>
      <c r="E51" s="132"/>
      <c r="F51" s="188">
        <v>11</v>
      </c>
      <c r="G51" s="186">
        <v>7</v>
      </c>
      <c r="H51" s="140"/>
      <c r="I51" s="1"/>
      <c r="J51" s="139"/>
      <c r="K51" s="133" t="s">
        <v>302</v>
      </c>
      <c r="L51" s="132"/>
      <c r="M51" s="132"/>
      <c r="N51" s="186">
        <v>8</v>
      </c>
      <c r="O51" s="186">
        <v>5</v>
      </c>
      <c r="P51" s="140"/>
      <c r="Q51" s="1"/>
      <c r="R51" s="1"/>
      <c r="S51" s="1"/>
      <c r="T51" s="1"/>
      <c r="U51" s="1"/>
      <c r="V51" s="1"/>
      <c r="W51" s="1"/>
      <c r="X51" s="1"/>
      <c r="Y51" s="1"/>
      <c r="Z51" s="1"/>
      <c r="AA51" s="1"/>
      <c r="AB51" s="1"/>
      <c r="AC51" s="1"/>
      <c r="AD51" s="1"/>
    </row>
    <row r="52" spans="2:30" ht="16.5" thickTop="1" thickBot="1" x14ac:dyDescent="0.4">
      <c r="B52" s="139"/>
      <c r="C52" s="133"/>
      <c r="D52" s="132"/>
      <c r="E52" s="132"/>
      <c r="F52" s="133"/>
      <c r="G52" s="132"/>
      <c r="H52" s="140"/>
      <c r="I52" s="1"/>
      <c r="J52" s="139"/>
      <c r="K52" s="133" t="s">
        <v>327</v>
      </c>
      <c r="L52" s="132"/>
      <c r="M52" s="132"/>
      <c r="N52" s="185">
        <v>220</v>
      </c>
      <c r="O52" s="185">
        <v>220</v>
      </c>
      <c r="P52" s="140"/>
      <c r="Q52" s="1"/>
      <c r="R52" s="1"/>
      <c r="S52" s="1"/>
      <c r="T52" s="1"/>
      <c r="U52" s="1"/>
      <c r="V52" s="1"/>
      <c r="W52" s="1"/>
      <c r="X52" s="1"/>
      <c r="Y52" s="1"/>
      <c r="Z52" s="1"/>
      <c r="AA52" s="1"/>
      <c r="AB52" s="1"/>
      <c r="AC52" s="1"/>
      <c r="AD52" s="1"/>
    </row>
    <row r="53" spans="2:30" ht="16.5" thickTop="1" thickBot="1" x14ac:dyDescent="0.4">
      <c r="B53" s="139"/>
      <c r="C53" s="133" t="s">
        <v>341</v>
      </c>
      <c r="D53" s="132"/>
      <c r="E53" s="132"/>
      <c r="F53" s="190">
        <v>200</v>
      </c>
      <c r="G53" s="190">
        <v>200</v>
      </c>
      <c r="H53" s="140"/>
      <c r="I53" s="1"/>
      <c r="J53" s="139"/>
      <c r="K53" s="133" t="s">
        <v>328</v>
      </c>
      <c r="L53" s="132"/>
      <c r="M53" s="132"/>
      <c r="N53" s="185">
        <v>1000</v>
      </c>
      <c r="O53" s="185">
        <v>1000</v>
      </c>
      <c r="P53" s="140"/>
      <c r="Q53" s="1"/>
      <c r="R53" s="1"/>
      <c r="S53" s="1"/>
      <c r="T53" s="1"/>
      <c r="U53" s="1"/>
      <c r="V53" s="1"/>
      <c r="W53" s="1"/>
      <c r="X53" s="1"/>
      <c r="Y53" s="1"/>
      <c r="Z53" s="1"/>
      <c r="AA53" s="1"/>
      <c r="AB53" s="1"/>
      <c r="AC53" s="1"/>
      <c r="AD53" s="1"/>
    </row>
    <row r="54" spans="2:30" ht="16.5" thickTop="1" thickBot="1" x14ac:dyDescent="0.4">
      <c r="B54" s="139"/>
      <c r="C54" s="133" t="s">
        <v>304</v>
      </c>
      <c r="D54" s="132"/>
      <c r="E54" s="132"/>
      <c r="F54" s="185">
        <v>1214862</v>
      </c>
      <c r="G54" s="185">
        <v>2265039</v>
      </c>
      <c r="H54" s="140"/>
      <c r="I54" s="1"/>
      <c r="J54" s="139"/>
      <c r="K54" s="133" t="s">
        <v>341</v>
      </c>
      <c r="L54" s="132"/>
      <c r="M54" s="132"/>
      <c r="N54" s="185">
        <v>150</v>
      </c>
      <c r="O54" s="185">
        <v>150</v>
      </c>
      <c r="P54" s="140"/>
      <c r="Q54" s="1"/>
      <c r="R54" s="1"/>
      <c r="S54" s="1"/>
      <c r="T54" s="1"/>
      <c r="U54" s="1"/>
      <c r="V54" s="1"/>
      <c r="W54" s="1"/>
      <c r="X54" s="1"/>
      <c r="Y54" s="1"/>
      <c r="Z54" s="1"/>
      <c r="AA54" s="1"/>
      <c r="AB54" s="1"/>
      <c r="AC54" s="1"/>
      <c r="AD54" s="1"/>
    </row>
    <row r="55" spans="2:30" ht="16.5" thickTop="1" thickBot="1" x14ac:dyDescent="0.4">
      <c r="B55" s="139"/>
      <c r="C55" s="133" t="s">
        <v>305</v>
      </c>
      <c r="D55" s="132"/>
      <c r="E55" s="132"/>
      <c r="F55" s="185">
        <v>7632052.6378305135</v>
      </c>
      <c r="G55" s="185">
        <v>11477664.586775661</v>
      </c>
      <c r="H55" s="140"/>
      <c r="I55" s="1"/>
      <c r="J55" s="139"/>
      <c r="K55" s="133" t="s">
        <v>304</v>
      </c>
      <c r="L55" s="132"/>
      <c r="M55" s="132"/>
      <c r="N55" s="187">
        <v>683594</v>
      </c>
      <c r="O55" s="185">
        <v>1297217</v>
      </c>
      <c r="P55" s="140"/>
      <c r="Q55" s="1"/>
      <c r="R55" s="1"/>
      <c r="S55" s="1"/>
      <c r="T55" s="1"/>
      <c r="U55" s="1"/>
      <c r="V55" s="1"/>
      <c r="W55" s="1"/>
      <c r="X55" s="1"/>
      <c r="Y55" s="1"/>
      <c r="Z55" s="1"/>
      <c r="AA55" s="1"/>
      <c r="AB55" s="1"/>
      <c r="AC55" s="1"/>
      <c r="AD55" s="1"/>
    </row>
    <row r="56" spans="2:30" ht="16.5" thickTop="1" thickBot="1" x14ac:dyDescent="0.4">
      <c r="B56" s="139"/>
      <c r="C56" s="132"/>
      <c r="D56" s="132"/>
      <c r="E56" s="132"/>
      <c r="F56" s="132"/>
      <c r="G56" s="132"/>
      <c r="H56" s="140"/>
      <c r="I56" s="1"/>
      <c r="J56" s="139"/>
      <c r="K56" s="133" t="s">
        <v>305</v>
      </c>
      <c r="L56" s="132"/>
      <c r="M56" s="132"/>
      <c r="N56" s="185">
        <v>6259903.8182514552</v>
      </c>
      <c r="O56" s="185">
        <v>8804899.8788981438</v>
      </c>
      <c r="P56" s="140"/>
      <c r="Q56" s="1"/>
      <c r="R56" s="1"/>
      <c r="S56" s="1"/>
      <c r="T56" s="1"/>
      <c r="U56" s="1"/>
      <c r="V56" s="1"/>
      <c r="W56" s="1"/>
      <c r="X56" s="1"/>
      <c r="Y56" s="1"/>
      <c r="Z56" s="1"/>
      <c r="AA56" s="1"/>
      <c r="AB56" s="1"/>
      <c r="AC56" s="1"/>
      <c r="AD56" s="1"/>
    </row>
    <row r="57" spans="2:30" ht="16" thickTop="1" x14ac:dyDescent="0.35">
      <c r="B57" s="139"/>
      <c r="C57" s="132"/>
      <c r="D57" s="132"/>
      <c r="E57" s="132"/>
      <c r="F57" s="132"/>
      <c r="G57" s="132"/>
      <c r="H57" s="140"/>
      <c r="I57" s="1"/>
      <c r="J57" s="139"/>
      <c r="K57" s="133"/>
      <c r="L57" s="132"/>
      <c r="M57" s="132"/>
      <c r="N57" s="132"/>
      <c r="O57" s="132"/>
      <c r="P57" s="140"/>
      <c r="Q57" s="1"/>
      <c r="R57" s="1"/>
      <c r="S57" s="1"/>
      <c r="T57" s="1"/>
      <c r="U57" s="1"/>
      <c r="V57" s="1"/>
      <c r="W57" s="1"/>
      <c r="X57" s="1"/>
      <c r="Y57" s="1"/>
      <c r="Z57" s="1"/>
      <c r="AA57" s="1"/>
      <c r="AB57" s="1"/>
      <c r="AC57" s="1"/>
      <c r="AD57" s="1"/>
    </row>
    <row r="58" spans="2:30" x14ac:dyDescent="0.35">
      <c r="B58" s="139"/>
      <c r="C58" s="134" t="s">
        <v>306</v>
      </c>
      <c r="D58" s="135" t="s">
        <v>342</v>
      </c>
      <c r="E58" s="132"/>
      <c r="F58" s="132"/>
      <c r="G58" s="132"/>
      <c r="H58" s="140"/>
      <c r="I58" s="1"/>
      <c r="J58" s="139"/>
      <c r="K58" s="134" t="s">
        <v>306</v>
      </c>
      <c r="L58" s="148"/>
      <c r="M58" s="132"/>
      <c r="N58" s="132"/>
      <c r="O58" s="132"/>
      <c r="P58" s="140"/>
      <c r="Q58" s="1"/>
      <c r="R58" s="1"/>
      <c r="S58" s="1"/>
      <c r="T58" s="1"/>
      <c r="U58" s="1"/>
      <c r="V58" s="1"/>
      <c r="W58" s="1"/>
      <c r="X58" s="1"/>
      <c r="Y58" s="1"/>
      <c r="Z58" s="1"/>
      <c r="AA58" s="1"/>
      <c r="AB58" s="1"/>
      <c r="AC58" s="1"/>
      <c r="AD58" s="1"/>
    </row>
    <row r="59" spans="2:30" x14ac:dyDescent="0.35">
      <c r="B59" s="139"/>
      <c r="C59" s="132"/>
      <c r="D59" s="135" t="s">
        <v>343</v>
      </c>
      <c r="E59" s="132"/>
      <c r="F59" s="132"/>
      <c r="G59" s="132"/>
      <c r="H59" s="140"/>
      <c r="I59" s="1"/>
      <c r="J59" s="139"/>
      <c r="K59" s="132"/>
      <c r="L59" s="148"/>
      <c r="M59" s="132"/>
      <c r="N59" s="132"/>
      <c r="O59" s="132"/>
      <c r="P59" s="140"/>
      <c r="Q59" s="1"/>
      <c r="R59" s="1"/>
      <c r="S59" s="1"/>
      <c r="T59" s="1"/>
      <c r="U59" s="1"/>
      <c r="V59" s="1"/>
      <c r="W59" s="1"/>
      <c r="X59" s="1"/>
      <c r="Y59" s="1"/>
      <c r="Z59" s="1"/>
      <c r="AA59" s="1"/>
      <c r="AB59" s="1"/>
      <c r="AC59" s="1"/>
      <c r="AD59" s="1"/>
    </row>
    <row r="60" spans="2:30" x14ac:dyDescent="0.35">
      <c r="B60" s="139"/>
      <c r="C60" s="132"/>
      <c r="D60" s="135"/>
      <c r="E60" s="132"/>
      <c r="F60" s="132"/>
      <c r="G60" s="132"/>
      <c r="H60" s="140"/>
      <c r="I60" s="1"/>
      <c r="J60" s="139"/>
      <c r="K60" s="132"/>
      <c r="L60" s="148"/>
      <c r="M60" s="132"/>
      <c r="N60" s="132"/>
      <c r="O60" s="132"/>
      <c r="P60" s="140"/>
      <c r="Q60" s="1"/>
      <c r="R60" s="1"/>
      <c r="S60" s="1"/>
      <c r="T60" s="1"/>
      <c r="U60" s="1"/>
      <c r="V60" s="1"/>
      <c r="W60" s="1"/>
      <c r="X60" s="1"/>
      <c r="Y60" s="1"/>
      <c r="Z60" s="1"/>
      <c r="AA60" s="1"/>
      <c r="AB60" s="1"/>
      <c r="AC60" s="1"/>
      <c r="AD60" s="1"/>
    </row>
    <row r="61" spans="2:30" ht="16" thickBot="1" x14ac:dyDescent="0.4">
      <c r="B61" s="141"/>
      <c r="C61" s="142"/>
      <c r="D61" s="142"/>
      <c r="E61" s="142"/>
      <c r="F61" s="142"/>
      <c r="G61" s="142"/>
      <c r="H61" s="143"/>
      <c r="I61" s="1"/>
      <c r="J61" s="141"/>
      <c r="K61" s="142"/>
      <c r="L61" s="149"/>
      <c r="M61" s="142"/>
      <c r="N61" s="142"/>
      <c r="O61" s="142"/>
      <c r="P61" s="143"/>
      <c r="Q61" s="1"/>
      <c r="R61" s="1"/>
      <c r="S61" s="1"/>
      <c r="T61" s="1"/>
      <c r="U61" s="1"/>
      <c r="V61" s="1"/>
      <c r="W61" s="1"/>
      <c r="X61" s="1"/>
      <c r="Y61" s="1"/>
      <c r="Z61" s="1"/>
      <c r="AA61" s="1"/>
      <c r="AB61" s="1"/>
      <c r="AC61" s="1"/>
      <c r="AD61" s="1"/>
    </row>
    <row r="62" spans="2:30" x14ac:dyDescent="0.35">
      <c r="B62" s="1"/>
      <c r="C62" s="1"/>
      <c r="D62" s="1"/>
      <c r="E62" s="1"/>
      <c r="F62" s="1"/>
      <c r="G62" s="1"/>
      <c r="H62" s="1"/>
      <c r="I62" s="1"/>
      <c r="J62" s="1"/>
      <c r="K62" s="1"/>
      <c r="L62" s="145"/>
      <c r="M62" s="1"/>
      <c r="N62" s="1"/>
      <c r="O62" s="1"/>
      <c r="P62" s="1"/>
      <c r="Q62" s="1"/>
      <c r="R62" s="1"/>
      <c r="S62" s="1"/>
      <c r="T62" s="1"/>
      <c r="U62" s="1"/>
      <c r="V62" s="1"/>
      <c r="W62" s="1"/>
      <c r="X62" s="1"/>
      <c r="Y62" s="1"/>
      <c r="Z62" s="1"/>
      <c r="AA62" s="1"/>
      <c r="AB62" s="1"/>
      <c r="AC62" s="1"/>
      <c r="AD62" s="1"/>
    </row>
    <row r="63" spans="2:30" x14ac:dyDescent="0.35">
      <c r="B63" s="1"/>
      <c r="C63" s="1"/>
      <c r="D63" s="1"/>
      <c r="E63" s="1"/>
      <c r="F63" s="1"/>
      <c r="G63" s="1"/>
      <c r="H63" s="1"/>
      <c r="I63" s="1"/>
      <c r="J63" s="1"/>
      <c r="K63" s="1"/>
      <c r="L63" s="145"/>
      <c r="M63" s="1"/>
      <c r="N63" s="1"/>
      <c r="O63" s="1"/>
      <c r="P63" s="1"/>
      <c r="Q63" s="1"/>
      <c r="R63" s="1"/>
      <c r="S63" s="1"/>
      <c r="T63" s="1"/>
      <c r="U63" s="1"/>
      <c r="V63" s="1"/>
      <c r="W63" s="1"/>
      <c r="X63" s="1"/>
      <c r="Y63" s="1"/>
      <c r="Z63" s="1"/>
      <c r="AA63" s="1"/>
      <c r="AB63" s="1"/>
      <c r="AC63" s="1"/>
      <c r="AD63" s="1"/>
    </row>
    <row r="64" spans="2:30" ht="18.5" x14ac:dyDescent="0.45">
      <c r="B64" s="155" t="s">
        <v>309</v>
      </c>
      <c r="C64" s="1"/>
      <c r="D64" t="s">
        <v>344</v>
      </c>
      <c r="G64" s="1"/>
      <c r="H64" s="1"/>
      <c r="I64" s="1"/>
      <c r="J64" s="1"/>
      <c r="K64" s="1"/>
      <c r="L64" s="145"/>
      <c r="M64" s="1"/>
      <c r="N64" s="1"/>
      <c r="O64" s="1"/>
      <c r="P64" s="1"/>
      <c r="Q64" s="1"/>
      <c r="R64" s="1"/>
      <c r="S64" s="1"/>
      <c r="T64" s="1"/>
      <c r="U64" s="1"/>
      <c r="V64" s="1"/>
      <c r="W64" s="1"/>
      <c r="X64" s="1"/>
      <c r="Y64" s="1"/>
      <c r="Z64" s="1"/>
      <c r="AA64" s="1"/>
      <c r="AB64" s="1"/>
      <c r="AC64" s="1"/>
      <c r="AD64" s="1"/>
    </row>
    <row r="65" spans="2:30" ht="18.5" x14ac:dyDescent="0.45">
      <c r="B65" s="157"/>
      <c r="C65" s="1"/>
      <c r="D65" s="1" t="s">
        <v>345</v>
      </c>
      <c r="E65" s="1"/>
      <c r="F65" s="1"/>
      <c r="G65" s="1"/>
      <c r="H65" s="1"/>
      <c r="I65" s="1"/>
      <c r="J65" s="1"/>
      <c r="K65" s="1"/>
      <c r="L65" s="145"/>
      <c r="M65" s="1"/>
      <c r="N65" s="1"/>
      <c r="O65" s="1"/>
      <c r="P65" s="1"/>
      <c r="Q65" s="1"/>
      <c r="R65" s="1"/>
      <c r="S65" s="1"/>
      <c r="T65" s="1"/>
      <c r="U65" s="1"/>
      <c r="V65" s="1"/>
      <c r="W65" s="1"/>
      <c r="X65" s="1"/>
      <c r="Y65" s="1"/>
      <c r="Z65" s="1"/>
      <c r="AA65" s="1"/>
      <c r="AB65" s="1"/>
      <c r="AC65" s="1"/>
      <c r="AD65" s="1"/>
    </row>
    <row r="66" spans="2:30" ht="18.5" x14ac:dyDescent="0.45">
      <c r="B66" s="155"/>
      <c r="C66" s="1"/>
      <c r="D66" s="1"/>
      <c r="E66" s="1" t="s">
        <v>346</v>
      </c>
      <c r="F66" s="1"/>
      <c r="G66" s="1"/>
      <c r="H66" s="1"/>
      <c r="I66" s="1"/>
      <c r="J66" s="1"/>
      <c r="K66" s="1"/>
      <c r="L66" s="145"/>
      <c r="M66" s="1"/>
      <c r="N66" s="1"/>
      <c r="O66" s="1"/>
      <c r="P66" s="1"/>
      <c r="Q66" s="1"/>
      <c r="R66" s="1"/>
      <c r="S66" s="1"/>
      <c r="T66" s="1"/>
      <c r="U66" s="1"/>
      <c r="V66" s="1"/>
      <c r="W66" s="1"/>
      <c r="X66" s="1"/>
      <c r="Y66" s="1"/>
      <c r="Z66" s="1"/>
      <c r="AA66" s="1"/>
      <c r="AB66" s="1"/>
      <c r="AC66" s="1"/>
      <c r="AD66" s="1"/>
    </row>
    <row r="67" spans="2:30" x14ac:dyDescent="0.35">
      <c r="B67" s="1"/>
      <c r="C67" s="1"/>
      <c r="D67" s="1"/>
      <c r="E67" s="1" t="s">
        <v>347</v>
      </c>
      <c r="F67" s="1"/>
      <c r="G67" s="1"/>
      <c r="H67" s="1"/>
      <c r="I67" s="1"/>
      <c r="J67" s="1"/>
      <c r="K67" s="1"/>
      <c r="L67" s="145"/>
      <c r="M67" s="1"/>
      <c r="N67" s="1"/>
      <c r="O67" s="1"/>
      <c r="P67" s="1"/>
      <c r="Q67" s="1"/>
      <c r="R67" s="1"/>
      <c r="S67" s="1"/>
      <c r="T67" s="1"/>
      <c r="U67" s="1"/>
      <c r="V67" s="1"/>
      <c r="W67" s="1"/>
      <c r="X67" s="1"/>
      <c r="Y67" s="1"/>
      <c r="Z67" s="1"/>
      <c r="AA67" s="1"/>
      <c r="AB67" s="1"/>
      <c r="AC67" s="1"/>
      <c r="AD67" s="1"/>
    </row>
    <row r="68" spans="2:30" x14ac:dyDescent="0.35">
      <c r="B68" s="1"/>
      <c r="C68" s="1"/>
      <c r="D68" s="1" t="s">
        <v>348</v>
      </c>
      <c r="E68" s="1"/>
      <c r="F68" s="1"/>
      <c r="G68" s="1"/>
      <c r="H68" s="1"/>
      <c r="I68" s="1"/>
      <c r="J68" s="1"/>
      <c r="K68" s="1"/>
      <c r="L68" s="145"/>
      <c r="M68" s="1"/>
      <c r="N68" s="1"/>
      <c r="O68" s="1"/>
      <c r="P68" s="1"/>
      <c r="Q68" s="1"/>
      <c r="R68" s="1"/>
      <c r="S68" s="1"/>
      <c r="T68" s="1"/>
      <c r="U68" s="1"/>
      <c r="V68" s="1"/>
      <c r="W68" s="1"/>
      <c r="X68" s="1"/>
      <c r="Y68" s="1"/>
      <c r="Z68" s="1"/>
      <c r="AA68" s="1"/>
      <c r="AB68" s="1"/>
      <c r="AC68" s="1"/>
      <c r="AD68" s="1"/>
    </row>
    <row r="69" spans="2:30" x14ac:dyDescent="0.35">
      <c r="B69" s="1"/>
      <c r="C69" s="1"/>
      <c r="D69" s="1" t="s">
        <v>349</v>
      </c>
      <c r="E69" s="1"/>
      <c r="F69" s="1"/>
      <c r="G69" s="1"/>
      <c r="H69" s="1"/>
      <c r="I69" s="1"/>
      <c r="J69" s="1"/>
      <c r="K69" s="1"/>
      <c r="L69" s="145"/>
      <c r="M69" s="1"/>
      <c r="N69" s="1"/>
      <c r="O69" s="1"/>
      <c r="P69" s="1"/>
      <c r="Q69" s="1"/>
      <c r="R69" s="1"/>
      <c r="S69" s="1"/>
      <c r="T69" s="1"/>
      <c r="U69" s="1"/>
      <c r="V69" s="1"/>
      <c r="W69" s="1"/>
      <c r="X69" s="1"/>
      <c r="Y69" s="1"/>
      <c r="Z69" s="1"/>
      <c r="AA69" s="1"/>
      <c r="AB69" s="1"/>
      <c r="AC69" s="1"/>
      <c r="AD69" s="1"/>
    </row>
    <row r="70" spans="2:30" x14ac:dyDescent="0.35">
      <c r="B70" s="1"/>
      <c r="C70" s="1"/>
      <c r="D70" s="1" t="s">
        <v>350</v>
      </c>
      <c r="E70" s="1"/>
      <c r="F70" s="1"/>
      <c r="G70" s="1"/>
      <c r="H70" s="1"/>
      <c r="I70" s="1"/>
      <c r="J70" s="1"/>
      <c r="K70" s="1"/>
      <c r="L70" s="145"/>
      <c r="M70" s="1"/>
      <c r="N70" s="1"/>
      <c r="O70" s="1"/>
      <c r="P70" s="1"/>
      <c r="Q70" s="1"/>
      <c r="R70" s="1"/>
      <c r="S70" s="1"/>
      <c r="T70" s="1"/>
      <c r="U70" s="1"/>
      <c r="V70" s="1"/>
      <c r="W70" s="1"/>
      <c r="X70" s="1"/>
      <c r="Y70" s="1"/>
      <c r="Z70" s="1"/>
      <c r="AA70" s="1"/>
      <c r="AB70" s="1"/>
      <c r="AC70" s="1"/>
      <c r="AD70" s="1"/>
    </row>
    <row r="71" spans="2:30" x14ac:dyDescent="0.35">
      <c r="B71" s="1"/>
      <c r="C71" s="1"/>
      <c r="D71" s="1" t="s">
        <v>351</v>
      </c>
      <c r="E71" s="1"/>
      <c r="F71" s="1"/>
      <c r="G71" s="1"/>
      <c r="H71" s="1"/>
      <c r="I71" s="1"/>
      <c r="J71" s="1"/>
      <c r="K71" s="1"/>
      <c r="L71" s="145"/>
      <c r="M71" s="1"/>
      <c r="N71" s="1"/>
      <c r="O71" s="1"/>
      <c r="P71" s="1"/>
      <c r="Q71" s="1"/>
      <c r="R71" s="1"/>
      <c r="S71" s="1"/>
      <c r="T71" s="1"/>
      <c r="U71" s="1"/>
      <c r="V71" s="1"/>
      <c r="W71" s="1"/>
      <c r="X71" s="1"/>
      <c r="Y71" s="1"/>
      <c r="Z71" s="1"/>
      <c r="AA71" s="1"/>
      <c r="AB71" s="1"/>
      <c r="AC71" s="1"/>
      <c r="AD71" s="1"/>
    </row>
    <row r="72" spans="2:30" x14ac:dyDescent="0.35">
      <c r="B72" s="1"/>
      <c r="C72" s="1"/>
      <c r="D72" s="1"/>
      <c r="E72" s="1"/>
      <c r="F72" s="1"/>
      <c r="G72" s="1"/>
      <c r="H72" s="1"/>
      <c r="I72" s="1"/>
      <c r="J72" s="1"/>
      <c r="K72" s="1"/>
      <c r="L72" s="145"/>
      <c r="M72" s="1"/>
      <c r="N72" s="1"/>
      <c r="O72" s="1"/>
      <c r="P72" s="1"/>
      <c r="Q72" s="1"/>
      <c r="R72" s="1"/>
      <c r="S72" s="1"/>
      <c r="T72" s="1"/>
      <c r="U72" s="1"/>
      <c r="V72" s="1"/>
      <c r="W72" s="1"/>
      <c r="X72" s="1"/>
      <c r="Y72" s="1"/>
      <c r="Z72" s="1"/>
      <c r="AA72" s="1"/>
      <c r="AB72" s="1"/>
      <c r="AC72" s="1"/>
      <c r="AD72" s="1"/>
    </row>
    <row r="73" spans="2:30" x14ac:dyDescent="0.35">
      <c r="B73" s="1"/>
      <c r="C73" s="1"/>
      <c r="D73" s="1"/>
      <c r="E73" s="1"/>
      <c r="F73" s="1"/>
      <c r="G73" s="1"/>
      <c r="H73" s="1"/>
      <c r="I73" s="1"/>
      <c r="J73" s="1"/>
      <c r="K73" s="1"/>
      <c r="L73" s="145"/>
      <c r="M73" s="1"/>
      <c r="N73" s="1"/>
      <c r="O73" s="1"/>
      <c r="P73" s="1"/>
      <c r="Q73" s="1"/>
      <c r="R73" s="1"/>
      <c r="S73" s="1"/>
      <c r="T73" s="1"/>
      <c r="U73" s="1"/>
      <c r="V73" s="1"/>
      <c r="W73" s="1"/>
      <c r="X73" s="1"/>
      <c r="Y73" s="1"/>
      <c r="Z73" s="1"/>
      <c r="AA73" s="1"/>
      <c r="AB73" s="1"/>
      <c r="AC73" s="1"/>
      <c r="AD73" s="1"/>
    </row>
    <row r="74" spans="2:30" x14ac:dyDescent="0.35">
      <c r="B74" s="1"/>
      <c r="C74" s="1"/>
      <c r="D74" s="1"/>
      <c r="E74" s="1"/>
      <c r="F74" s="1"/>
      <c r="G74" s="1"/>
      <c r="H74" s="1"/>
      <c r="I74" s="1"/>
      <c r="J74" s="1"/>
      <c r="K74" s="1"/>
      <c r="L74" s="145"/>
      <c r="M74" s="1"/>
      <c r="N74" s="1"/>
      <c r="O74" s="1"/>
      <c r="P74" s="1"/>
      <c r="Q74" s="1"/>
      <c r="R74" s="1"/>
      <c r="S74" s="1"/>
      <c r="T74" s="1"/>
      <c r="U74" s="1"/>
      <c r="V74" s="1"/>
      <c r="W74" s="1"/>
      <c r="X74" s="1"/>
      <c r="Y74" s="1"/>
      <c r="Z74" s="1"/>
      <c r="AA74" s="1"/>
      <c r="AB74" s="1"/>
      <c r="AC74" s="1"/>
      <c r="AD74" s="1"/>
    </row>
    <row r="75" spans="2:30" x14ac:dyDescent="0.35">
      <c r="B75" s="1"/>
      <c r="C75" s="1"/>
      <c r="D75" s="1"/>
      <c r="E75" s="1"/>
      <c r="F75" s="1"/>
      <c r="G75" s="1"/>
      <c r="H75" s="1"/>
      <c r="I75" s="1"/>
      <c r="J75" s="1"/>
      <c r="K75" s="1"/>
      <c r="L75" s="145"/>
      <c r="M75" s="1"/>
      <c r="N75" s="1"/>
      <c r="O75" s="1"/>
      <c r="P75" s="1"/>
      <c r="Q75" s="1"/>
      <c r="R75" s="1"/>
      <c r="S75" s="1"/>
      <c r="T75" s="1"/>
      <c r="U75" s="1"/>
      <c r="V75" s="1"/>
      <c r="W75" s="1"/>
      <c r="X75" s="1"/>
      <c r="Y75" s="1"/>
      <c r="Z75" s="1"/>
      <c r="AA75" s="1"/>
      <c r="AB75" s="1"/>
      <c r="AC75" s="1"/>
      <c r="AD75" s="1"/>
    </row>
    <row r="76" spans="2:30" x14ac:dyDescent="0.35">
      <c r="B76" s="1"/>
      <c r="C76" s="1"/>
      <c r="D76" s="1"/>
      <c r="E76" s="1"/>
      <c r="F76" s="1"/>
      <c r="G76" s="1"/>
      <c r="H76" s="1"/>
      <c r="I76" s="1"/>
      <c r="J76" s="1"/>
      <c r="K76" s="1"/>
      <c r="L76" s="145"/>
      <c r="M76" s="1"/>
      <c r="N76" s="1"/>
      <c r="O76" s="1"/>
      <c r="P76" s="1"/>
      <c r="Q76" s="1"/>
      <c r="R76" s="1"/>
      <c r="S76" s="1"/>
      <c r="T76" s="1"/>
      <c r="U76" s="1"/>
      <c r="V76" s="1"/>
      <c r="W76" s="1"/>
      <c r="X76" s="1"/>
      <c r="Y76" s="1"/>
      <c r="Z76" s="1"/>
      <c r="AA76" s="1"/>
      <c r="AB76" s="1"/>
      <c r="AC76" s="1"/>
      <c r="AD76" s="1"/>
    </row>
    <row r="77" spans="2:30" x14ac:dyDescent="0.35">
      <c r="B77" s="1"/>
      <c r="C77" s="1"/>
      <c r="D77" s="1"/>
      <c r="E77" s="1"/>
      <c r="F77" s="1"/>
      <c r="G77" s="1"/>
      <c r="H77" s="1"/>
      <c r="I77" s="1"/>
      <c r="J77" s="1"/>
      <c r="K77" s="1"/>
      <c r="L77" s="145"/>
      <c r="M77" s="1"/>
      <c r="N77" s="1"/>
      <c r="O77" s="1"/>
      <c r="P77" s="1"/>
      <c r="Q77" s="1"/>
      <c r="R77" s="1"/>
      <c r="S77" s="1"/>
      <c r="T77" s="1"/>
      <c r="U77" s="1"/>
      <c r="V77" s="1"/>
      <c r="W77" s="1"/>
      <c r="X77" s="1"/>
      <c r="Y77" s="1"/>
      <c r="Z77" s="1"/>
      <c r="AA77" s="1"/>
      <c r="AB77" s="1"/>
      <c r="AC77" s="1"/>
      <c r="AD77" s="1"/>
    </row>
    <row r="78" spans="2:30" x14ac:dyDescent="0.35">
      <c r="B78" s="1"/>
      <c r="C78" s="1"/>
      <c r="D78" s="1"/>
      <c r="E78" s="1"/>
      <c r="F78" s="1"/>
      <c r="G78" s="1"/>
      <c r="H78" s="1"/>
      <c r="I78" s="1"/>
      <c r="J78" s="1"/>
      <c r="K78" s="1"/>
      <c r="L78" s="145"/>
      <c r="M78" s="1"/>
      <c r="N78" s="1"/>
      <c r="O78" s="1"/>
      <c r="P78" s="1"/>
      <c r="Q78" s="1"/>
      <c r="R78" s="1"/>
      <c r="S78" s="1"/>
      <c r="T78" s="1"/>
      <c r="U78" s="1"/>
      <c r="V78" s="1"/>
      <c r="W78" s="1"/>
      <c r="X78" s="1"/>
      <c r="Y78" s="1"/>
      <c r="Z78" s="1"/>
      <c r="AA78" s="1"/>
      <c r="AB78" s="1"/>
      <c r="AC78" s="1"/>
      <c r="AD78" s="1"/>
    </row>
    <row r="79" spans="2:30" x14ac:dyDescent="0.35">
      <c r="B79" s="1"/>
      <c r="C79" s="1"/>
      <c r="D79" s="1"/>
      <c r="E79" s="1"/>
      <c r="F79" s="1"/>
      <c r="G79" s="1"/>
      <c r="H79" s="1"/>
      <c r="I79" s="1"/>
      <c r="J79" s="1"/>
      <c r="K79" s="1"/>
      <c r="L79" s="145"/>
      <c r="M79" s="1"/>
      <c r="N79" s="1"/>
      <c r="O79" s="1"/>
      <c r="P79" s="1"/>
      <c r="Q79" s="1"/>
      <c r="R79" s="1"/>
      <c r="S79" s="1"/>
      <c r="T79" s="1"/>
      <c r="U79" s="1"/>
      <c r="V79" s="1"/>
      <c r="W79" s="1"/>
      <c r="X79" s="1"/>
      <c r="Y79" s="1"/>
      <c r="Z79" s="1"/>
      <c r="AA79" s="1"/>
      <c r="AB79" s="1"/>
      <c r="AC79" s="1"/>
      <c r="AD79" s="1"/>
    </row>
    <row r="80" spans="2:30" x14ac:dyDescent="0.35">
      <c r="B80" s="1"/>
      <c r="C80" s="1"/>
      <c r="D80" s="1"/>
      <c r="E80" s="1"/>
      <c r="F80" s="1"/>
      <c r="G80" s="1"/>
      <c r="H80" s="1"/>
      <c r="I80" s="1"/>
      <c r="J80" s="1"/>
      <c r="K80" s="1"/>
      <c r="L80" s="145"/>
      <c r="M80" s="1"/>
      <c r="N80" s="1"/>
      <c r="O80" s="1"/>
      <c r="P80" s="1"/>
      <c r="Q80" s="1"/>
      <c r="R80" s="1"/>
      <c r="S80" s="1"/>
      <c r="T80" s="1"/>
      <c r="U80" s="1"/>
      <c r="V80" s="1"/>
      <c r="W80" s="1"/>
      <c r="X80" s="1"/>
      <c r="Y80" s="1"/>
      <c r="Z80" s="1"/>
      <c r="AA80" s="1"/>
      <c r="AB80" s="1"/>
      <c r="AC80" s="1"/>
      <c r="AD80" s="1"/>
    </row>
    <row r="81" spans="2:30" x14ac:dyDescent="0.35">
      <c r="B81" s="1"/>
      <c r="C81" s="1"/>
      <c r="D81" s="1"/>
      <c r="E81" s="1"/>
      <c r="F81" s="1"/>
      <c r="G81" s="1"/>
      <c r="H81" s="1"/>
      <c r="I81" s="1"/>
      <c r="J81" s="1"/>
      <c r="K81" s="1"/>
      <c r="L81" s="145"/>
      <c r="M81" s="1"/>
      <c r="N81" s="1"/>
      <c r="O81" s="1"/>
      <c r="P81" s="1"/>
      <c r="Q81" s="1"/>
      <c r="R81" s="1"/>
      <c r="S81" s="1"/>
      <c r="T81" s="1"/>
      <c r="U81" s="1"/>
      <c r="V81" s="1"/>
      <c r="W81" s="1"/>
      <c r="X81" s="1"/>
      <c r="Y81" s="1"/>
      <c r="Z81" s="1"/>
      <c r="AA81" s="1"/>
      <c r="AB81" s="1"/>
      <c r="AC81" s="1"/>
      <c r="AD81" s="1"/>
    </row>
    <row r="82" spans="2:30" x14ac:dyDescent="0.35">
      <c r="B82" s="1"/>
      <c r="C82" s="1"/>
      <c r="D82" s="1"/>
      <c r="E82" s="1"/>
      <c r="F82" s="1"/>
      <c r="G82" s="1"/>
      <c r="H82" s="1"/>
      <c r="I82" s="1"/>
      <c r="J82" s="1"/>
      <c r="K82" s="1"/>
      <c r="L82" s="145"/>
      <c r="M82" s="1"/>
      <c r="N82" s="1"/>
      <c r="O82" s="1"/>
      <c r="P82" s="1"/>
      <c r="Q82" s="1"/>
      <c r="R82" s="1"/>
      <c r="S82" s="1"/>
      <c r="T82" s="1"/>
      <c r="U82" s="1"/>
      <c r="V82" s="1"/>
      <c r="W82" s="1"/>
      <c r="X82" s="1"/>
      <c r="Y82" s="1"/>
      <c r="Z82" s="1"/>
      <c r="AA82" s="1"/>
      <c r="AB82" s="1"/>
      <c r="AC82" s="1"/>
      <c r="AD82" s="1"/>
    </row>
    <row r="83" spans="2:30" x14ac:dyDescent="0.35">
      <c r="B83" s="1"/>
      <c r="C83" s="1"/>
      <c r="D83" s="1"/>
      <c r="E83" s="1"/>
      <c r="F83" s="1"/>
      <c r="G83" s="1"/>
      <c r="H83" s="1"/>
      <c r="I83" s="1"/>
      <c r="J83" s="1"/>
      <c r="K83" s="1"/>
      <c r="L83" s="145"/>
      <c r="M83" s="1"/>
      <c r="N83" s="1"/>
      <c r="O83" s="1"/>
      <c r="P83" s="1"/>
      <c r="Q83" s="1"/>
      <c r="R83" s="1"/>
      <c r="S83" s="1"/>
      <c r="T83" s="1"/>
      <c r="U83" s="1"/>
      <c r="V83" s="1"/>
      <c r="W83" s="1"/>
      <c r="X83" s="1"/>
      <c r="Y83" s="1"/>
      <c r="Z83" s="1"/>
      <c r="AA83" s="1"/>
      <c r="AB83" s="1"/>
      <c r="AC83" s="1"/>
      <c r="AD83" s="1"/>
    </row>
    <row r="84" spans="2:30" x14ac:dyDescent="0.35">
      <c r="B84" s="1"/>
      <c r="C84" s="1"/>
      <c r="D84" s="1"/>
      <c r="E84" s="1"/>
      <c r="F84" s="1"/>
      <c r="G84" s="1"/>
      <c r="H84" s="1"/>
      <c r="I84" s="1"/>
      <c r="J84" s="1"/>
      <c r="K84" s="1"/>
      <c r="L84" s="145"/>
      <c r="M84" s="1"/>
      <c r="N84" s="1"/>
      <c r="O84" s="1"/>
      <c r="P84" s="1"/>
      <c r="Q84" s="1"/>
      <c r="R84" s="1"/>
      <c r="S84" s="1"/>
      <c r="T84" s="1"/>
      <c r="U84" s="1"/>
      <c r="V84" s="1"/>
      <c r="W84" s="1"/>
      <c r="X84" s="1"/>
      <c r="Y84" s="1"/>
      <c r="Z84" s="1"/>
      <c r="AA84" s="1"/>
      <c r="AB84" s="1"/>
      <c r="AC84" s="1"/>
      <c r="AD84" s="1"/>
    </row>
    <row r="85" spans="2:30" x14ac:dyDescent="0.35">
      <c r="B85" s="1"/>
      <c r="C85" s="1"/>
      <c r="D85" s="1"/>
      <c r="E85" s="1"/>
      <c r="F85" s="1"/>
      <c r="G85" s="1"/>
      <c r="H85" s="1"/>
      <c r="I85" s="1"/>
      <c r="J85" s="1"/>
      <c r="K85" s="1"/>
      <c r="L85" s="145"/>
      <c r="M85" s="1"/>
      <c r="N85" s="1"/>
      <c r="O85" s="1"/>
      <c r="P85" s="1"/>
      <c r="Q85" s="1"/>
      <c r="R85" s="1"/>
      <c r="S85" s="1"/>
      <c r="T85" s="1"/>
      <c r="U85" s="1"/>
      <c r="V85" s="1"/>
      <c r="W85" s="1"/>
      <c r="X85" s="1"/>
      <c r="Y85" s="1"/>
      <c r="Z85" s="1"/>
      <c r="AA85" s="1"/>
      <c r="AB85" s="1"/>
      <c r="AC85" s="1"/>
      <c r="AD85" s="1"/>
    </row>
  </sheetData>
  <mergeCells count="4">
    <mergeCell ref="M12:Q12"/>
    <mergeCell ref="M13:Q13"/>
    <mergeCell ref="E12:J12"/>
    <mergeCell ref="E13:J13"/>
  </mergeCell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7623A85E174ADC41BB6BD22E175149F8" ma:contentTypeVersion="2" ma:contentTypeDescription="Ein neues Dokument erstellen." ma:contentTypeScope="" ma:versionID="fbe5eb7ca8db88ced4e5caee14acd306">
  <xsd:schema xmlns:xsd="http://www.w3.org/2001/XMLSchema" xmlns:xs="http://www.w3.org/2001/XMLSchema" xmlns:p="http://schemas.microsoft.com/office/2006/metadata/properties" xmlns:ns2="2c8bc9bb-3477-4b80-ae03-7439853ad4b2" targetNamespace="http://schemas.microsoft.com/office/2006/metadata/properties" ma:root="true" ma:fieldsID="02f248ea13370d3ccb89ffb4993ed240" ns2:_="">
    <xsd:import namespace="2c8bc9bb-3477-4b80-ae03-7439853ad4b2"/>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c8bc9bb-3477-4b80-ae03-7439853ad4b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D3B7F14-C439-4541-9ED6-1CC54FA765CC}">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6A4E8B37-EAFC-444E-8749-A9391CA4A93F}">
  <ds:schemaRefs>
    <ds:schemaRef ds:uri="http://schemas.microsoft.com/sharepoint/v3/contenttype/forms"/>
  </ds:schemaRefs>
</ds:datastoreItem>
</file>

<file path=customXml/itemProps3.xml><?xml version="1.0" encoding="utf-8"?>
<ds:datastoreItem xmlns:ds="http://schemas.openxmlformats.org/officeDocument/2006/customXml" ds:itemID="{526D8DCE-0243-4069-9F50-0F3E62C62A0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c8bc9bb-3477-4b80-ae03-7439853ad4b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Table rentabilité</vt:lpstr>
      <vt:lpstr>Remboursement Mensualités</vt:lpstr>
      <vt:lpstr>investissement réel</vt:lpstr>
      <vt:lpstr>Modèles envisagés (ex.arachide)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Jules Jagot</dc:creator>
  <cp:keywords/>
  <dc:description/>
  <cp:lastModifiedBy>GIZ</cp:lastModifiedBy>
  <cp:revision/>
  <dcterms:created xsi:type="dcterms:W3CDTF">2019-05-03T18:25:17Z</dcterms:created>
  <dcterms:modified xsi:type="dcterms:W3CDTF">2021-10-14T17:09:41Z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0x0101007623A85E174ADC41BB6BD22E175149F8</vt:lpwstr>
  </property>
</Properties>
</file>